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etTmp\Design\my project\my project_19_Mira\"/>
    </mc:Choice>
  </mc:AlternateContent>
  <xr:revisionPtr revIDLastSave="0" documentId="13_ncr:1_{11B4E0DA-21C0-480B-B065-F112105ADAEB}" xr6:coauthVersionLast="45" xr6:coauthVersionMax="45" xr10:uidLastSave="{00000000-0000-0000-0000-000000000000}"/>
  <bookViews>
    <workbookView xWindow="-120" yWindow="-120" windowWidth="38640" windowHeight="21240" xr2:uid="{F25F3F78-499A-4853-8554-DF6FE647F9C4}"/>
  </bookViews>
  <sheets>
    <sheet name="Общая смета" sheetId="3" r:id="rId1"/>
    <sheet name="Черновые материалы" sheetId="2" r:id="rId2"/>
  </sheets>
  <definedNames>
    <definedName name="_xlnm._FilterDatabase" localSheetId="0" hidden="1">'Общая смета'!$A$1:$K$111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3" l="1"/>
  <c r="H95" i="3"/>
  <c r="F95" i="3"/>
  <c r="F90" i="3" l="1"/>
  <c r="H90" i="3" s="1"/>
  <c r="F91" i="3"/>
  <c r="H91" i="3" s="1"/>
  <c r="F89" i="3"/>
  <c r="H89" i="3" s="1"/>
  <c r="F94" i="3"/>
  <c r="H94" i="3" s="1"/>
  <c r="F93" i="3"/>
  <c r="H93" i="3" s="1"/>
  <c r="F19" i="3"/>
  <c r="F18" i="3"/>
  <c r="F17" i="3"/>
  <c r="F21" i="3"/>
  <c r="H21" i="3" s="1"/>
  <c r="E40" i="3" l="1"/>
  <c r="G98" i="3" l="1"/>
  <c r="G61" i="3"/>
  <c r="G52" i="3"/>
  <c r="G66" i="3"/>
  <c r="G55" i="3"/>
  <c r="G58" i="3"/>
  <c r="F109" i="3" l="1"/>
  <c r="F110" i="3"/>
  <c r="E57" i="3"/>
  <c r="G111" i="3" l="1"/>
  <c r="H110" i="3"/>
  <c r="H109" i="3"/>
  <c r="F99" i="3"/>
  <c r="H99" i="3" s="1"/>
  <c r="E61" i="3"/>
  <c r="F46" i="3"/>
  <c r="H46" i="3" s="1"/>
  <c r="G64" i="3"/>
  <c r="H45" i="3"/>
  <c r="G81" i="3"/>
  <c r="F75" i="3"/>
  <c r="H75" i="3" s="1"/>
  <c r="F74" i="3"/>
  <c r="H74" i="3" s="1"/>
  <c r="F72" i="3"/>
  <c r="H72" i="3" s="1"/>
  <c r="G26" i="3"/>
  <c r="G25" i="3"/>
  <c r="G6" i="3"/>
  <c r="G7" i="3"/>
  <c r="G8" i="3"/>
  <c r="G4" i="3"/>
  <c r="G12" i="3"/>
  <c r="E11" i="3"/>
  <c r="F14" i="3" l="1"/>
  <c r="H14" i="3" s="1"/>
  <c r="F39" i="3"/>
  <c r="H39" i="3" s="1"/>
  <c r="F38" i="3"/>
  <c r="H38" i="3" s="1"/>
  <c r="C37" i="3"/>
  <c r="F108" i="3" l="1"/>
  <c r="H108" i="3" s="1"/>
  <c r="F107" i="3"/>
  <c r="H107" i="3" s="1"/>
  <c r="F106" i="3"/>
  <c r="H106" i="3" s="1"/>
  <c r="F104" i="3"/>
  <c r="H104" i="3" s="1"/>
  <c r="F101" i="3"/>
  <c r="H101" i="3" s="1"/>
  <c r="F100" i="3"/>
  <c r="H100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69" i="3"/>
  <c r="H69" i="3" s="1"/>
  <c r="F70" i="3"/>
  <c r="H70" i="3" s="1"/>
  <c r="F73" i="3"/>
  <c r="H73" i="3" s="1"/>
  <c r="F80" i="3"/>
  <c r="H80" i="3" s="1"/>
  <c r="F79" i="3"/>
  <c r="H79" i="3" s="1"/>
  <c r="F78" i="3"/>
  <c r="H78" i="3" s="1"/>
  <c r="F77" i="3"/>
  <c r="H77" i="3" s="1"/>
  <c r="F76" i="3"/>
  <c r="H76" i="3" s="1"/>
  <c r="F71" i="3"/>
  <c r="H71" i="3" s="1"/>
  <c r="F68" i="3"/>
  <c r="H68" i="3" s="1"/>
  <c r="F67" i="3"/>
  <c r="H67" i="3" s="1"/>
  <c r="F66" i="3"/>
  <c r="H66" i="3" s="1"/>
  <c r="F57" i="3"/>
  <c r="H57" i="3" s="1"/>
  <c r="F50" i="3"/>
  <c r="H50" i="3" s="1"/>
  <c r="F49" i="3"/>
  <c r="H49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8" i="3"/>
  <c r="H58" i="3" s="1"/>
  <c r="F62" i="3"/>
  <c r="H62" i="3" s="1"/>
  <c r="F63" i="3"/>
  <c r="H63" i="3" s="1"/>
  <c r="F48" i="3"/>
  <c r="H48" i="3" s="1"/>
  <c r="F44" i="3"/>
  <c r="H44" i="3" s="1"/>
  <c r="E34" i="3"/>
  <c r="H81" i="3" l="1"/>
  <c r="F81" i="3"/>
  <c r="E24" i="3"/>
  <c r="F24" i="3" s="1"/>
  <c r="H24" i="3" s="1"/>
  <c r="C23" i="3"/>
  <c r="F23" i="3" s="1"/>
  <c r="H23" i="3" s="1"/>
  <c r="E22" i="3"/>
  <c r="F22" i="3" s="1"/>
  <c r="H22" i="3" s="1"/>
  <c r="H19" i="3"/>
  <c r="H18" i="3"/>
  <c r="H17" i="3"/>
  <c r="F36" i="3"/>
  <c r="H36" i="3" s="1"/>
  <c r="F35" i="3"/>
  <c r="H35" i="3" s="1"/>
  <c r="F34" i="3"/>
  <c r="H34" i="3" s="1"/>
  <c r="F7" i="3"/>
  <c r="H7" i="3" s="1"/>
  <c r="F8" i="3"/>
  <c r="H8" i="3" s="1"/>
  <c r="F10" i="3"/>
  <c r="H10" i="3" s="1"/>
  <c r="E9" i="3"/>
  <c r="F12" i="3"/>
  <c r="H12" i="3" s="1"/>
  <c r="E29" i="3"/>
  <c r="F29" i="3" s="1"/>
  <c r="H29" i="3" s="1"/>
  <c r="D31" i="3"/>
  <c r="O1" i="3"/>
  <c r="D32" i="3"/>
  <c r="D30" i="3"/>
  <c r="E27" i="3"/>
  <c r="F41" i="3"/>
  <c r="H41" i="3" s="1"/>
  <c r="F40" i="3"/>
  <c r="H40" i="3" s="1"/>
  <c r="F37" i="3"/>
  <c r="H37" i="3" s="1"/>
  <c r="F33" i="3"/>
  <c r="H33" i="3" s="1"/>
  <c r="F28" i="3"/>
  <c r="H28" i="3" s="1"/>
  <c r="F26" i="3"/>
  <c r="H26" i="3" s="1"/>
  <c r="F25" i="3"/>
  <c r="H25" i="3" s="1"/>
  <c r="F4" i="3"/>
  <c r="H4" i="3" s="1"/>
  <c r="F5" i="3"/>
  <c r="H5" i="3" s="1"/>
  <c r="F11" i="3"/>
  <c r="H11" i="3" s="1"/>
  <c r="F6" i="3"/>
  <c r="H6" i="3" s="1"/>
  <c r="F27" i="3" l="1"/>
  <c r="G27" i="3"/>
  <c r="G42" i="3" s="1"/>
  <c r="F9" i="3"/>
  <c r="G9" i="3"/>
  <c r="G15" i="3" s="1"/>
  <c r="F105" i="3"/>
  <c r="H105" i="3" s="1"/>
  <c r="E102" i="3"/>
  <c r="F102" i="3" s="1"/>
  <c r="H102" i="3" s="1"/>
  <c r="F98" i="3"/>
  <c r="H98" i="3" s="1"/>
  <c r="F103" i="3"/>
  <c r="H103" i="3" s="1"/>
  <c r="F97" i="3"/>
  <c r="H97" i="3" s="1"/>
  <c r="F61" i="3"/>
  <c r="H61" i="3" s="1"/>
  <c r="F92" i="3"/>
  <c r="E32" i="3"/>
  <c r="F32" i="3" s="1"/>
  <c r="H32" i="3" s="1"/>
  <c r="E30" i="3"/>
  <c r="F30" i="3" s="1"/>
  <c r="E31" i="3"/>
  <c r="F31" i="3" s="1"/>
  <c r="H31" i="3" s="1"/>
  <c r="E47" i="3"/>
  <c r="H47" i="3" s="1"/>
  <c r="E60" i="3"/>
  <c r="F60" i="3" s="1"/>
  <c r="H60" i="3" s="1"/>
  <c r="E59" i="3"/>
  <c r="F59" i="3" s="1"/>
  <c r="H59" i="3" s="1"/>
  <c r="F15" i="3"/>
  <c r="H9" i="3" l="1"/>
  <c r="H15" i="3" s="1"/>
  <c r="G2" i="3"/>
  <c r="H111" i="3"/>
  <c r="H92" i="3"/>
  <c r="F42" i="3"/>
  <c r="H30" i="3"/>
  <c r="H27" i="3"/>
  <c r="H64" i="3"/>
  <c r="F64" i="3"/>
  <c r="F111" i="3"/>
  <c r="H42" i="3" l="1"/>
  <c r="H2" i="3"/>
  <c r="F2" i="3"/>
</calcChain>
</file>

<file path=xl/sharedStrings.xml><?xml version="1.0" encoding="utf-8"?>
<sst xmlns="http://schemas.openxmlformats.org/spreadsheetml/2006/main" count="263" uniqueCount="241">
  <si>
    <t>https://www.keramoteka.ru/catalog/equipe/kite/</t>
  </si>
  <si>
    <t>Унитаз</t>
  </si>
  <si>
    <t>Гигиенический душ</t>
  </si>
  <si>
    <t>Комод</t>
  </si>
  <si>
    <t>Стол</t>
  </si>
  <si>
    <t>Диван</t>
  </si>
  <si>
    <t>Кухня</t>
  </si>
  <si>
    <t>Холодильник</t>
  </si>
  <si>
    <t>Кондиционер</t>
  </si>
  <si>
    <t>Кресло</t>
  </si>
  <si>
    <t>Посудомойка</t>
  </si>
  <si>
    <t>Вытяжка</t>
  </si>
  <si>
    <t>Духовка</t>
  </si>
  <si>
    <t>Итого</t>
  </si>
  <si>
    <t>Счет от 02.09</t>
  </si>
  <si>
    <t>Наименование</t>
  </si>
  <si>
    <t>Примечание</t>
  </si>
  <si>
    <t>Сылка</t>
  </si>
  <si>
    <t>Отделка</t>
  </si>
  <si>
    <t>Equipe Kite в трех цветах White, Light Grey, Dark Grey</t>
  </si>
  <si>
    <t>Плинтус</t>
  </si>
  <si>
    <t>Orac SX163 SQUARE</t>
  </si>
  <si>
    <t>https://oracdecor.ru/sx163_skirting</t>
  </si>
  <si>
    <t>Дверь в санузел</t>
  </si>
  <si>
    <t>Дверь в комнату двойная</t>
  </si>
  <si>
    <t>Мебель</t>
  </si>
  <si>
    <t>Обувница</t>
  </si>
  <si>
    <t>Тумба для обуви с 2 откидывающимися дверцами Compo</t>
  </si>
  <si>
    <t>https://www.laredoute.ru/ppdp/prod-350128385.aspx#shoppingtool=treestructureflyout</t>
  </si>
  <si>
    <t>Вешалка</t>
  </si>
  <si>
    <t>https://www.ikea.com/ru/ru/p/ekrar-veshalka-belyy-60415596/</t>
  </si>
  <si>
    <t>Зеркало над обувницей</t>
  </si>
  <si>
    <t>Стул Carl Hansen</t>
  </si>
  <si>
    <t>CH24 | WISHBONE CHAIR, Oak, Soap, Natural cord</t>
  </si>
  <si>
    <t>https://www.carlhansen.com/en/collection/chairs/ch24/ch24-oak-soap-natural-cord/variant/6885</t>
  </si>
  <si>
    <t>Техника на кухне</t>
  </si>
  <si>
    <t>Измельчитель в раковину</t>
  </si>
  <si>
    <t>Газовая варочная панель</t>
  </si>
  <si>
    <t>Smeg FAB28LWH3</t>
  </si>
  <si>
    <t>https://smeg-store.ru/fab28lwh3/</t>
  </si>
  <si>
    <t>Свет</t>
  </si>
  <si>
    <t>http://dcw-editions.fr/en/modele/137/hcs-350</t>
  </si>
  <si>
    <t>Бра в прихожей</t>
  </si>
  <si>
    <t>https://www.centrsvet.ru/catalog/facade/prisma/</t>
  </si>
  <si>
    <t>Потолочный свет в прихожуй</t>
  </si>
  <si>
    <t>RONDO C 45 4030 WD</t>
  </si>
  <si>
    <t>https://www.centrsvet.ru/catalog/ceiling_on_direct/rondo/</t>
  </si>
  <si>
    <t>Кровать</t>
  </si>
  <si>
    <t>Полка над кроватью</t>
  </si>
  <si>
    <t>La Redoute</t>
  </si>
  <si>
    <t>https://www.laredoute.ru/ppdp/prod-350011569.aspx#searchkeyword=%D0%BF%D0%BE%D0%BB%D0%BA%D0%B0&amp;shoppingtool=search</t>
  </si>
  <si>
    <t>На заказ габариты ШхГхВ 800х450х800</t>
  </si>
  <si>
    <t>Гардеробная система</t>
  </si>
  <si>
    <t>На заказ по фактическим размерам Elfa</t>
  </si>
  <si>
    <t>Шторы, закрывающие гардероб</t>
  </si>
  <si>
    <t>На заказ</t>
  </si>
  <si>
    <t>Консоль</t>
  </si>
  <si>
    <t>На заказ ШхГхВ 1000х400х750</t>
  </si>
  <si>
    <t>Зеркало у консоли</t>
  </si>
  <si>
    <t>Ikea ИКОРННЕС</t>
  </si>
  <si>
    <t>https://www.ikea.com/ru/ru/p/ikornnes-zerkalo-napolnoe-yasen-70369216/</t>
  </si>
  <si>
    <t>На заказ ШхГхВ 620х770х780</t>
  </si>
  <si>
    <t>ТВ тумба</t>
  </si>
  <si>
    <t>На заказ ШхГхВ 1600х450х500</t>
  </si>
  <si>
    <t>Журнальный столик большой</t>
  </si>
  <si>
    <t>ЖУРНАЛЬНЫЕ СТОЛИКИ NARVIK D45</t>
  </si>
  <si>
    <t>https://pohjanmaan.ru/catalog/model/zhurnal-nie-stoliki-narvik</t>
  </si>
  <si>
    <t>Журнальный столик маленький</t>
  </si>
  <si>
    <t>ЖУРНАЛЬНЫЕ СТОЛИКИ NARVIK D25</t>
  </si>
  <si>
    <t>Dublexo Eik Sofa Bed Oak</t>
  </si>
  <si>
    <t>https://www.innovationliving.com/products/by-type/sofa-beds/product-details/dublexo-eik-sofa-bed-oak?fabric=527-Mixed-Dance-Natural</t>
  </si>
  <si>
    <t>Штора на окно</t>
  </si>
  <si>
    <t>Стеллаж</t>
  </si>
  <si>
    <t>https://www.yaratam.design/product-page/%D1%81%D1%82%D0%B5%D0%BB%D0%BB%D0%B0%D0%B6-45</t>
  </si>
  <si>
    <t>Торшер у кресла</t>
  </si>
  <si>
    <t>Модель уточняется</t>
  </si>
  <si>
    <t>Настольная лампа у кровати</t>
  </si>
  <si>
    <t>Подсветка гардеробной</t>
  </si>
  <si>
    <t>DOT.TOT 0830 40° WD DIM</t>
  </si>
  <si>
    <t>https://www.centrsvet.ru/catalog/ceiling_on_direct/dot_tot/</t>
  </si>
  <si>
    <t>EQUIPE KROMATIKA Black</t>
  </si>
  <si>
    <t>https://www.keramoteka.ru/catalog/equipe/kromatika/</t>
  </si>
  <si>
    <t>https://www.keramoteka.ru/catalog/equipe/la-riviera/</t>
  </si>
  <si>
    <t>Тумба под раковину</t>
  </si>
  <si>
    <t>Зеркало над раковиной с подсветкой</t>
  </si>
  <si>
    <t>СТОРЙОРМ</t>
  </si>
  <si>
    <t>https://www.ikea.com/ru/ru/p/storyorm-zerkaln-shkafchik-2dvercy-podsvetka-belyy-60369071/?#ins_sr=eyJwcm9kdWN0SWQiOiI2MDM2OTA3MSJ9</t>
  </si>
  <si>
    <t>Раковина</t>
  </si>
  <si>
    <t>РЭТТВИКЕН</t>
  </si>
  <si>
    <t>https://www.ikea.com/ru/ru/p/rettviken-odinarnaya-rakovina-belyy-40369053/?#ins_sr=eyJwcm9kdWN0SWQiOiI0MDM2OTA1MyJ9</t>
  </si>
  <si>
    <t>Шкаф за инсталляцией</t>
  </si>
  <si>
    <t>По фактическим размерам после установки инсталяции, ориентир ШхГхВ 800х200хдо потолка</t>
  </si>
  <si>
    <t>Полотенцесушитель</t>
  </si>
  <si>
    <t>Проточный водонагреватель</t>
  </si>
  <si>
    <t>Датчик протечек</t>
  </si>
  <si>
    <t>AURA C 1030 WD DIM</t>
  </si>
  <si>
    <t>https://www.centrsvet.ru/catalog/ceiling_on_direct/aura_c/</t>
  </si>
  <si>
    <t>GLOBUS M 0627 GR 6Вт</t>
  </si>
  <si>
    <t>https://www.centrsvet.ru/catalog/facade/globus/</t>
  </si>
  <si>
    <t>Ст-ть, евро</t>
  </si>
  <si>
    <t>Ст-ть, руб</t>
  </si>
  <si>
    <t>Общая ст-ть</t>
  </si>
  <si>
    <t>Плитка на полу в кухне и прихожей</t>
  </si>
  <si>
    <t>Плитка на полу в санузле</t>
  </si>
  <si>
    <t>Плитка на стенах в санузле</t>
  </si>
  <si>
    <t>EQUIPE LA RIVIERA Blanc</t>
  </si>
  <si>
    <t>Покраска стен во всех комнатах</t>
  </si>
  <si>
    <t>подбор по выкрасам</t>
  </si>
  <si>
    <t>согласование после выкраса</t>
  </si>
  <si>
    <t>Радиатор на кухне</t>
  </si>
  <si>
    <t>Радиатор в основной комнате</t>
  </si>
  <si>
    <t>Лендор</t>
  </si>
  <si>
    <t>Arbonia</t>
  </si>
  <si>
    <t>ШхГхВ 744х105х570</t>
  </si>
  <si>
    <t>ШхГхВ 924х105х570</t>
  </si>
  <si>
    <t>Гарант</t>
  </si>
  <si>
    <t>Планкен деревянный</t>
  </si>
  <si>
    <t>Бренд/модель</t>
  </si>
  <si>
    <t>Реставрация ограждения</t>
  </si>
  <si>
    <t>Затирка швов на плитке</t>
  </si>
  <si>
    <t>Работы</t>
  </si>
  <si>
    <t>Вывоз вещей с объекта</t>
  </si>
  <si>
    <t>Хранение вещей на складе</t>
  </si>
  <si>
    <t>Доставка вещей для продажи</t>
  </si>
  <si>
    <t>Курс евро</t>
  </si>
  <si>
    <t>Ремонт - работы</t>
  </si>
  <si>
    <t>Ручки дверные</t>
  </si>
  <si>
    <t>Ручки оконные</t>
  </si>
  <si>
    <t>Olivari</t>
  </si>
  <si>
    <t>Демонтаж на объекте</t>
  </si>
  <si>
    <t>Демонтаж газовой плиты</t>
  </si>
  <si>
    <t>Комплектующие для радиаторов</t>
  </si>
  <si>
    <t>по факту</t>
  </si>
  <si>
    <t>По факту</t>
  </si>
  <si>
    <t>Накладка на замок</t>
  </si>
  <si>
    <t>Доставка и монтаж двери</t>
  </si>
  <si>
    <t>Стена с соседями на балконе</t>
  </si>
  <si>
    <t>Обмеры</t>
  </si>
  <si>
    <t>Рабочая документация</t>
  </si>
  <si>
    <t>Итого по Работам</t>
  </si>
  <si>
    <t>Итого по Отделке</t>
  </si>
  <si>
    <t>Кол-во, площадь, п.м.</t>
  </si>
  <si>
    <t>Доставка и монтаж</t>
  </si>
  <si>
    <t>Дверь балконная</t>
  </si>
  <si>
    <t>Доставка, демонтаж старой, монтаж</t>
  </si>
  <si>
    <t>Фабрика окон</t>
  </si>
  <si>
    <t>Покраска потолка</t>
  </si>
  <si>
    <t>Derufa, Стокгольмский белый ncs s0502 y - 115 м.кв.</t>
  </si>
  <si>
    <t>Демонтаж старого, монтаж нового</t>
  </si>
  <si>
    <t>Derufa, белый - 38 м.кв.</t>
  </si>
  <si>
    <t>Переварка газовой трубы</t>
  </si>
  <si>
    <t>https://www.ikea.com/ru/ru/p/doksta-stol-belyy-belyy-s69396862/</t>
  </si>
  <si>
    <t>D 1030 мм Докста</t>
  </si>
  <si>
    <t>МАЛЬМ 1600х2000</t>
  </si>
  <si>
    <t>https://www.ikea.com/ru/ru/p/malm-karkas-krovati-dubovyy-shpon-belenyy-lonset-s09210942/</t>
  </si>
  <si>
    <t>Матрас</t>
  </si>
  <si>
    <t>Модель на согласовании</t>
  </si>
  <si>
    <t>Итого по Мебели</t>
  </si>
  <si>
    <t>На заказ ШхГхВ 2500х150х2300</t>
  </si>
  <si>
    <t>Сантехника</t>
  </si>
  <si>
    <t>Итого по Сантехнике</t>
  </si>
  <si>
    <t>Смеситель для раковины</t>
  </si>
  <si>
    <t>Смеситель для душа</t>
  </si>
  <si>
    <t>Итого по Кухне</t>
  </si>
  <si>
    <t>Итого по Свету</t>
  </si>
  <si>
    <t>Подвес над обеденным столом</t>
  </si>
  <si>
    <t>Подвес в диванной зоне</t>
  </si>
  <si>
    <t>Торшер у дивана</t>
  </si>
  <si>
    <t>Лампа на полке</t>
  </si>
  <si>
    <t>https://shop.andtradition.com/collections/lighting/products/milk-table-lamp-na1?variant=33078629957691</t>
  </si>
  <si>
    <t>https://shop.andtradition.com/collections/lighting/products/flowerpot-table-vp3?variant=33078633168955</t>
  </si>
  <si>
    <t>https://shop.andtradition.com/collections/lighting/products/tripod-floor-lamp-hm8</t>
  </si>
  <si>
    <t>Бра на балконе</t>
  </si>
  <si>
    <t>Розетки</t>
  </si>
  <si>
    <t>Выключатели</t>
  </si>
  <si>
    <t>https://swedbe.com/ru/catalog/smesiteli/dlya_rakoviny/swedbe_venado_smesitel_dlya_rakoviny_bez_d_k_1610/</t>
  </si>
  <si>
    <t>https://swedbe.com/ru/catalog/smesiteli/swedbe_hermes_nabor_semeynyy_dush_i_termost_smesitel_9090/</t>
  </si>
  <si>
    <t>Счет от 18.09.2020</t>
  </si>
  <si>
    <t>Два дверных полотна 700Х2205 каждый</t>
  </si>
  <si>
    <t>Внесено руб.</t>
  </si>
  <si>
    <t>Осталось внести, руб.</t>
  </si>
  <si>
    <t>Дата поставки</t>
  </si>
  <si>
    <t>Инсталляция</t>
  </si>
  <si>
    <t>Клавиша смыва для инсталляционной рамы ТЕСЕ, цвет хром</t>
  </si>
  <si>
    <t>Клавиша смыва</t>
  </si>
  <si>
    <t>Комплект для крепления модуля к стене</t>
  </si>
  <si>
    <t>Комплектующие к инсталляции</t>
  </si>
  <si>
    <t>STARCK 3 Сиденье для унитаза/с автоматическим закрыванием SoftClose/съемное/шарниры стальные</t>
  </si>
  <si>
    <t>Полотенцесушитель латунный Secado Милан 1 80/50,электрический, ТЭН слева, со скрытым подключение,хром</t>
  </si>
  <si>
    <t>STARCK 3 Унитаз подвесной компакт, с вертикальным смывом, размер 36х48.5 см, цвет белый</t>
  </si>
  <si>
    <t>Сиденье для унитаза</t>
  </si>
  <si>
    <t>Модуль для подвесного унитаза, ТЕСЕ, глубина 8 см, фронтальное расположение панели смыва</t>
  </si>
  <si>
    <t>D800 на заказ отреставрированное</t>
  </si>
  <si>
    <t>Вешалка напольная белая, текущая</t>
  </si>
  <si>
    <t>PRIMUS II PEND D430 WHITE/CHROME E27</t>
  </si>
  <si>
    <t>https://belid.se/en/product/totalt-sortiment-2020/primus-ii-pend-d430-whitechrome-e27--1214--121414</t>
  </si>
  <si>
    <t>Лампа на консоли</t>
  </si>
  <si>
    <t>https://www.ikea.com/ru/ru/p/ranarp-lampa-rabochaya-chernyy-50360603/</t>
  </si>
  <si>
    <t>Ikea РАНАРП</t>
  </si>
  <si>
    <t>Ikea ЛАУТЕРС</t>
  </si>
  <si>
    <t>https://www.ikea.com/ru/ru/p/lauters-svetilnik-napolnyy-yasen-belyy-80405049/</t>
  </si>
  <si>
    <t>Потолочный свет в санузле</t>
  </si>
  <si>
    <t>Дверь в скрытом коробе 600х2000, рекомендация по проему 700х2060, короб устанавливается при черновой отделки, дверь при чистовой</t>
  </si>
  <si>
    <t>доставлено</t>
  </si>
  <si>
    <t>30 дней</t>
  </si>
  <si>
    <t>&amp;Tradition Milk Untreated Ash / White Cord</t>
  </si>
  <si>
    <t>&amp;Tradition Tripod Black</t>
  </si>
  <si>
    <t xml:space="preserve">&amp;Tradition Flowerpot Matt White	</t>
  </si>
  <si>
    <t>DCW, black+copper</t>
  </si>
  <si>
    <t>PRISMA TWO 0627 GR</t>
  </si>
  <si>
    <t>Переварка трубы водяного полотенчика</t>
  </si>
  <si>
    <t>на заказ 600х450</t>
  </si>
  <si>
    <t>Счет от 02.10.2020</t>
  </si>
  <si>
    <t>Черновые материалы</t>
  </si>
  <si>
    <t>Доставка плитки</t>
  </si>
  <si>
    <t>от Керамотка</t>
  </si>
  <si>
    <t>нужен подъем</t>
  </si>
  <si>
    <t>Затирка белая для плитки</t>
  </si>
  <si>
    <t>Столешница</t>
  </si>
  <si>
    <t>Мойка</t>
  </si>
  <si>
    <t>Смеситель</t>
  </si>
  <si>
    <t>Дозатор для мыла</t>
  </si>
  <si>
    <t>СМЕСИТЕЛЬ ДЛЯ КУХНИ С КАНАЛОМ ДЛЯ ПОДКЛЮЧЕНИЯ ФИЛЬТРА С ГИБКИМ ИЗЛИВОМ SWEDBE SELENE PLUS 8441</t>
  </si>
  <si>
    <t>Фильтр для воды</t>
  </si>
  <si>
    <t>ВСТРАИВАЕМЫЙ ДОЗАТОР ДЛЯ МЫЛА SWEDBE SELENE 0100</t>
  </si>
  <si>
    <t>Аквафор DWM-101S Морион</t>
  </si>
  <si>
    <t>https://www.aquaphor.ru/filters/dwm-101s</t>
  </si>
  <si>
    <t>https://swedbe.com/ru/catalog/smesiteli/dlya_kukhni/swedbe_selene_plus_smesitel_dlya_kukhni_s_vytyazhnym_belym_shlangom_8441/</t>
  </si>
  <si>
    <t>https://swedbe.com/ru/catalog/aksessuary/dlya_vannoy_komnaty/swedbe_dispenser_dlya_myla_0100/</t>
  </si>
  <si>
    <t>https://store.korting.ru/catalog/posudomoechnye-mashiny/model-posudomoechnaya-mashina-kdi-45985/?change_region=1781</t>
  </si>
  <si>
    <t>Посудомоечная машина KDI 45985</t>
  </si>
  <si>
    <t>Derebus</t>
  </si>
  <si>
    <t>ELICA Вытяжка встраиваемая HIDDEN IX/A/60</t>
  </si>
  <si>
    <t>https://elica-russia.ru/katalog/vstraivaemye/elica-vytyazhka-vstraivaemaya-hidden-ix-a-60/</t>
  </si>
  <si>
    <t>Счет от 08.10.2020</t>
  </si>
  <si>
    <t>Газовая варочная панель HG 365 CTX</t>
  </si>
  <si>
    <t>https://store.korting.ru/catalog/varochnye-poverkhnosti/model-gazovaya-varochnaya-panel-hg-365-ctx/</t>
  </si>
  <si>
    <t>Электрический духовой шкаф OKB 7931 CMX</t>
  </si>
  <si>
    <t>https://store.korting.ru/catalog/dukhovye-shkafy/model-elektricheskiy-dukhovoy-shkaf-okb-7931-cmx/</t>
  </si>
  <si>
    <t>ИЗМЕЛЬЧИТЕЛЬ ПИЩЕВЫХ ОТХОДОВ BONE CRUSHER BC 700</t>
  </si>
  <si>
    <t>https://boncrusher.ru/products/izmelchitel-pishchevyh-othodov-bone-crusher-bc-700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</si>
</sst>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4" borderId="0" xfId="0" applyFont="1" applyFill="1"/>
    <xf numFmtId="0" fontId="6" fillId="4" borderId="0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1" fillId="0" borderId="1" xfId="1" applyFill="1" applyBorder="1" applyAlignment="1">
      <alignment vertical="center"/>
    </xf>
    <xf numFmtId="0" fontId="0" fillId="0" borderId="0" xfId="0" applyFill="1"/>
    <xf numFmtId="14" fontId="2" fillId="0" borderId="1" xfId="0" applyNumberFormat="1" applyFont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 wrapText="1"/>
    </xf>
    <xf numFmtId="14" fontId="0" fillId="0" borderId="0" xfId="0" applyNumberForma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EF8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ntrsvet.ru/catalog/ceiling_on_direct/rondo/" TargetMode="External"/><Relationship Id="rId13" Type="http://schemas.openxmlformats.org/officeDocument/2006/relationships/hyperlink" Target="https://www.innovationliving.com/products/by-type/sofa-beds/product-details/dublexo-eik-sofa-bed-oak?fabric=527-Mixed-Dance-Natural" TargetMode="External"/><Relationship Id="rId18" Type="http://schemas.openxmlformats.org/officeDocument/2006/relationships/hyperlink" Target="https://www.ikea.com/ru/ru/p/storyorm-zerkaln-shkafchik-2dvercy-podsvetka-belyy-60369071/?" TargetMode="External"/><Relationship Id="rId3" Type="http://schemas.openxmlformats.org/officeDocument/2006/relationships/hyperlink" Target="https://www.laredoute.ru/ppdp/prod-350128385.aspx" TargetMode="External"/><Relationship Id="rId21" Type="http://schemas.openxmlformats.org/officeDocument/2006/relationships/hyperlink" Target="https://www.centrsvet.ru/catalog/facade/globus/" TargetMode="External"/><Relationship Id="rId7" Type="http://schemas.openxmlformats.org/officeDocument/2006/relationships/hyperlink" Target="https://www.centrsvet.ru/catalog/facade/prisma/" TargetMode="External"/><Relationship Id="rId12" Type="http://schemas.openxmlformats.org/officeDocument/2006/relationships/hyperlink" Target="https://pohjanmaan.ru/catalog/model/zhurnal-nie-stoliki-narvik" TargetMode="External"/><Relationship Id="rId17" Type="http://schemas.openxmlformats.org/officeDocument/2006/relationships/hyperlink" Target="https://www.keramoteka.ru/catalog/equipe/la-riviera/" TargetMode="External"/><Relationship Id="rId2" Type="http://schemas.openxmlformats.org/officeDocument/2006/relationships/hyperlink" Target="https://oracdecor.ru/sx163_skirting" TargetMode="External"/><Relationship Id="rId16" Type="http://schemas.openxmlformats.org/officeDocument/2006/relationships/hyperlink" Target="https://www.keramoteka.ru/catalog/equipe/kromatika/" TargetMode="External"/><Relationship Id="rId20" Type="http://schemas.openxmlformats.org/officeDocument/2006/relationships/hyperlink" Target="https://www.centrsvet.ru/catalog/ceiling_on_direct/aura_c/" TargetMode="External"/><Relationship Id="rId1" Type="http://schemas.openxmlformats.org/officeDocument/2006/relationships/hyperlink" Target="https://www.keramoteka.ru/catalog/equipe/kite/" TargetMode="External"/><Relationship Id="rId6" Type="http://schemas.openxmlformats.org/officeDocument/2006/relationships/hyperlink" Target="http://dcw-editions.fr/en/modele/137/hcs-350" TargetMode="External"/><Relationship Id="rId11" Type="http://schemas.openxmlformats.org/officeDocument/2006/relationships/hyperlink" Target="https://pohjanmaan.ru/catalog/model/zhurnal-nie-stoliki-narvik" TargetMode="External"/><Relationship Id="rId5" Type="http://schemas.openxmlformats.org/officeDocument/2006/relationships/hyperlink" Target="https://www.carlhansen.com/en/collection/chairs/ch24/ch24-oak-soap-natural-cord/variant/6885" TargetMode="External"/><Relationship Id="rId15" Type="http://schemas.openxmlformats.org/officeDocument/2006/relationships/hyperlink" Target="https://www.centrsvet.ru/catalog/ceiling_on_direct/dot_tot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ikea.com/ru/ru/p/ikornnes-zerkalo-napolnoe-yasen-70369216/" TargetMode="External"/><Relationship Id="rId19" Type="http://schemas.openxmlformats.org/officeDocument/2006/relationships/hyperlink" Target="https://www.ikea.com/ru/ru/p/rettviken-odinarnaya-rakovina-belyy-40369053/?" TargetMode="External"/><Relationship Id="rId4" Type="http://schemas.openxmlformats.org/officeDocument/2006/relationships/hyperlink" Target="https://www.ikea.com/ru/ru/p/ekrar-veshalka-belyy-60415596/" TargetMode="External"/><Relationship Id="rId9" Type="http://schemas.openxmlformats.org/officeDocument/2006/relationships/hyperlink" Target="https://www.laredoute.ru/ppdp/prod-350011569.aspx" TargetMode="External"/><Relationship Id="rId14" Type="http://schemas.openxmlformats.org/officeDocument/2006/relationships/hyperlink" Target="https://www.yaratam.design/product-page/%D1%81%D1%82%D0%B5%D0%BB%D0%BB%D0%B0%D0%B6-45" TargetMode="External"/><Relationship Id="rId22" Type="http://schemas.openxmlformats.org/officeDocument/2006/relationships/hyperlink" Target="https://smeg-store.ru/fab28lwh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DFCDC-D39F-43AB-BAB4-E4A8CEA931BD}">
  <dimension ref="A1:O111"/>
  <sheetViews>
    <sheetView showGridLines="0" tabSelected="1" workbookViewId="0">
      <pane ySplit="2" topLeftCell="A75" activePane="bottomLeft" state="frozen"/>
      <selection pane="bottomLeft" activeCell="A82" sqref="A82"/>
    </sheetView>
  </sheetViews>
  <sheetFormatPr defaultRowHeight="15" x14ac:dyDescent="0.25"/>
  <cols>
    <col min="1" max="2" width="25.7109375" customWidth="1"/>
    <col min="3" max="8" width="25.7109375" style="1" customWidth="1"/>
    <col min="9" max="9" width="25.7109375" style="39" customWidth="1"/>
    <col min="10" max="10" width="43" customWidth="1"/>
    <col min="11" max="11" width="25.7109375" customWidth="1"/>
  </cols>
  <sheetData>
    <row r="1" spans="1:15" ht="25.5" x14ac:dyDescent="0.25">
      <c r="A1" s="13" t="s">
        <v>15</v>
      </c>
      <c r="B1" s="13" t="s">
        <v>117</v>
      </c>
      <c r="C1" s="13" t="s">
        <v>141</v>
      </c>
      <c r="D1" s="13" t="s">
        <v>99</v>
      </c>
      <c r="E1" s="13" t="s">
        <v>100</v>
      </c>
      <c r="F1" s="13" t="s">
        <v>101</v>
      </c>
      <c r="G1" s="13" t="s">
        <v>179</v>
      </c>
      <c r="H1" s="13" t="s">
        <v>180</v>
      </c>
      <c r="I1" s="31" t="s">
        <v>181</v>
      </c>
      <c r="J1" s="3" t="s">
        <v>16</v>
      </c>
      <c r="K1" s="3" t="s">
        <v>17</v>
      </c>
      <c r="M1" s="12" t="s">
        <v>124</v>
      </c>
      <c r="N1">
        <v>90</v>
      </c>
      <c r="O1">
        <f>N1+N1*3%</f>
        <v>92.7</v>
      </c>
    </row>
    <row r="2" spans="1:15" s="21" customFormat="1" x14ac:dyDescent="0.25">
      <c r="A2" s="43" t="s">
        <v>13</v>
      </c>
      <c r="B2" s="44"/>
      <c r="C2" s="44"/>
      <c r="D2" s="44"/>
      <c r="E2" s="45"/>
      <c r="F2" s="19">
        <f>F15+F42+F64+F81+F95+F111</f>
        <v>3697000.8598499997</v>
      </c>
      <c r="G2" s="19">
        <f>G15+G42+G64+G81+G95+G111</f>
        <v>1432072.20985</v>
      </c>
      <c r="H2" s="19">
        <f>H15+H42+H64+H81+H95+H111</f>
        <v>2264928.65</v>
      </c>
      <c r="I2" s="32"/>
      <c r="J2" s="20"/>
      <c r="K2" s="20"/>
      <c r="M2" s="22"/>
    </row>
    <row r="3" spans="1:15" x14ac:dyDescent="0.25">
      <c r="A3" s="2" t="s">
        <v>120</v>
      </c>
      <c r="B3" s="4"/>
      <c r="C3" s="14"/>
      <c r="D3" s="14"/>
      <c r="E3" s="14"/>
      <c r="F3" s="14"/>
      <c r="G3" s="14"/>
      <c r="H3" s="14"/>
      <c r="I3" s="33"/>
      <c r="J3" s="4"/>
      <c r="K3" s="4"/>
    </row>
    <row r="4" spans="1:15" x14ac:dyDescent="0.25">
      <c r="A4" s="5" t="s">
        <v>121</v>
      </c>
      <c r="B4" s="5"/>
      <c r="C4" s="15">
        <v>1</v>
      </c>
      <c r="D4" s="15"/>
      <c r="E4" s="15">
        <v>5940</v>
      </c>
      <c r="F4" s="15">
        <f t="shared" ref="F4:F5" si="0">C4*E4</f>
        <v>5940</v>
      </c>
      <c r="G4" s="15">
        <f>E4</f>
        <v>5940</v>
      </c>
      <c r="H4" s="15">
        <f t="shared" ref="H4:H10" si="1">F4-G4</f>
        <v>0</v>
      </c>
      <c r="I4" s="34"/>
      <c r="J4" s="5"/>
      <c r="K4" s="6"/>
    </row>
    <row r="5" spans="1:15" x14ac:dyDescent="0.25">
      <c r="A5" s="5" t="s">
        <v>122</v>
      </c>
      <c r="B5" s="5"/>
      <c r="C5" s="15">
        <v>2</v>
      </c>
      <c r="D5" s="15"/>
      <c r="E5" s="15">
        <v>15840</v>
      </c>
      <c r="F5" s="15">
        <f t="shared" si="0"/>
        <v>31680</v>
      </c>
      <c r="G5" s="15">
        <v>31680</v>
      </c>
      <c r="H5" s="15">
        <f t="shared" si="1"/>
        <v>0</v>
      </c>
      <c r="I5" s="34"/>
      <c r="J5" s="5"/>
      <c r="K5" s="6"/>
    </row>
    <row r="6" spans="1:15" ht="25.5" x14ac:dyDescent="0.25">
      <c r="A6" s="5" t="s">
        <v>123</v>
      </c>
      <c r="B6" s="5"/>
      <c r="C6" s="15">
        <v>3</v>
      </c>
      <c r="D6" s="15"/>
      <c r="E6" s="15">
        <v>990</v>
      </c>
      <c r="F6" s="15">
        <f>C6*E6</f>
        <v>2970</v>
      </c>
      <c r="G6" s="15">
        <f>C6*E6</f>
        <v>2970</v>
      </c>
      <c r="H6" s="15">
        <f t="shared" si="1"/>
        <v>0</v>
      </c>
      <c r="I6" s="34"/>
      <c r="J6" s="5"/>
      <c r="K6" s="6"/>
    </row>
    <row r="7" spans="1:15" x14ac:dyDescent="0.25">
      <c r="A7" s="5" t="s">
        <v>129</v>
      </c>
      <c r="B7" s="5"/>
      <c r="C7" s="15">
        <v>1</v>
      </c>
      <c r="D7" s="15"/>
      <c r="E7" s="15">
        <v>50000</v>
      </c>
      <c r="F7" s="15">
        <f t="shared" ref="F7:F10" si="2">C7*E7</f>
        <v>50000</v>
      </c>
      <c r="G7" s="15">
        <f t="shared" ref="G7:G9" si="3">E7</f>
        <v>50000</v>
      </c>
      <c r="H7" s="15">
        <f t="shared" si="1"/>
        <v>0</v>
      </c>
      <c r="I7" s="34"/>
      <c r="J7" s="5"/>
      <c r="K7" s="6"/>
    </row>
    <row r="8" spans="1:15" x14ac:dyDescent="0.25">
      <c r="A8" s="5" t="s">
        <v>137</v>
      </c>
      <c r="B8" s="5"/>
      <c r="C8" s="15">
        <v>1</v>
      </c>
      <c r="D8" s="15"/>
      <c r="E8" s="15">
        <v>5000</v>
      </c>
      <c r="F8" s="15">
        <f t="shared" si="2"/>
        <v>5000</v>
      </c>
      <c r="G8" s="15">
        <f t="shared" si="3"/>
        <v>5000</v>
      </c>
      <c r="H8" s="15">
        <f t="shared" si="1"/>
        <v>0</v>
      </c>
      <c r="I8" s="34"/>
      <c r="J8" s="5"/>
      <c r="K8" s="6"/>
    </row>
    <row r="9" spans="1:15" x14ac:dyDescent="0.25">
      <c r="A9" s="5" t="s">
        <v>138</v>
      </c>
      <c r="B9" s="5"/>
      <c r="C9" s="15">
        <v>1</v>
      </c>
      <c r="D9" s="15"/>
      <c r="E9" s="15">
        <f>250*39</f>
        <v>9750</v>
      </c>
      <c r="F9" s="15">
        <f t="shared" si="2"/>
        <v>9750</v>
      </c>
      <c r="G9" s="15">
        <f t="shared" si="3"/>
        <v>9750</v>
      </c>
      <c r="H9" s="15">
        <f t="shared" si="1"/>
        <v>0</v>
      </c>
      <c r="I9" s="34"/>
      <c r="J9" s="5"/>
      <c r="K9" s="6"/>
    </row>
    <row r="10" spans="1:15" x14ac:dyDescent="0.25">
      <c r="A10" s="5" t="s">
        <v>130</v>
      </c>
      <c r="B10" s="5"/>
      <c r="C10" s="15">
        <v>1</v>
      </c>
      <c r="D10" s="15"/>
      <c r="E10" s="15">
        <v>1230</v>
      </c>
      <c r="F10" s="15">
        <f t="shared" si="2"/>
        <v>1230</v>
      </c>
      <c r="G10" s="15">
        <v>1230</v>
      </c>
      <c r="H10" s="15">
        <f t="shared" si="1"/>
        <v>0</v>
      </c>
      <c r="I10" s="34"/>
      <c r="J10" s="5"/>
      <c r="K10" s="6"/>
    </row>
    <row r="11" spans="1:15" x14ac:dyDescent="0.25">
      <c r="A11" s="5" t="s">
        <v>125</v>
      </c>
      <c r="B11" s="5"/>
      <c r="C11" s="15">
        <v>1</v>
      </c>
      <c r="D11" s="15"/>
      <c r="E11" s="15">
        <f>550000+49206</f>
        <v>599206</v>
      </c>
      <c r="F11" s="15">
        <f t="shared" ref="F11:F41" si="4">C11*E11</f>
        <v>599206</v>
      </c>
      <c r="G11" s="15">
        <v>150000</v>
      </c>
      <c r="H11" s="15">
        <f>F11-G11</f>
        <v>449206</v>
      </c>
      <c r="I11" s="34"/>
      <c r="J11" s="5"/>
      <c r="K11" s="6"/>
    </row>
    <row r="12" spans="1:15" x14ac:dyDescent="0.25">
      <c r="A12" s="5" t="s">
        <v>213</v>
      </c>
      <c r="B12" s="5"/>
      <c r="C12" s="15">
        <v>1</v>
      </c>
      <c r="D12" s="15"/>
      <c r="E12" s="15">
        <v>300000</v>
      </c>
      <c r="F12" s="15">
        <f t="shared" si="4"/>
        <v>300000</v>
      </c>
      <c r="G12" s="15">
        <f>SUM('Черновые материалы'!B:B)</f>
        <v>148535</v>
      </c>
      <c r="H12" s="15">
        <f>F12-G12</f>
        <v>151465</v>
      </c>
      <c r="I12" s="34"/>
      <c r="J12" s="5"/>
      <c r="K12" s="6"/>
    </row>
    <row r="13" spans="1:15" ht="25.5" x14ac:dyDescent="0.25">
      <c r="A13" s="5" t="s">
        <v>210</v>
      </c>
      <c r="B13" s="5"/>
      <c r="C13" s="15"/>
      <c r="D13" s="15"/>
      <c r="E13" s="15"/>
      <c r="F13" s="15"/>
      <c r="G13" s="15"/>
      <c r="H13" s="15"/>
      <c r="I13" s="34"/>
      <c r="J13" s="5"/>
      <c r="K13" s="6"/>
    </row>
    <row r="14" spans="1:15" x14ac:dyDescent="0.25">
      <c r="A14" s="5" t="s">
        <v>150</v>
      </c>
      <c r="B14" s="5"/>
      <c r="C14" s="15">
        <v>1</v>
      </c>
      <c r="D14" s="15"/>
      <c r="E14" s="15">
        <v>25000</v>
      </c>
      <c r="F14" s="15">
        <f t="shared" si="4"/>
        <v>25000</v>
      </c>
      <c r="G14" s="15"/>
      <c r="H14" s="15">
        <f>F14-G14</f>
        <v>25000</v>
      </c>
      <c r="I14" s="34"/>
      <c r="J14" s="5"/>
      <c r="K14" s="6"/>
    </row>
    <row r="15" spans="1:15" x14ac:dyDescent="0.25">
      <c r="A15" s="40" t="s">
        <v>139</v>
      </c>
      <c r="B15" s="41"/>
      <c r="C15" s="41"/>
      <c r="D15" s="41"/>
      <c r="E15" s="42"/>
      <c r="F15" s="18">
        <f>SUM(F4:F14)</f>
        <v>1030776</v>
      </c>
      <c r="G15" s="18">
        <f t="shared" ref="G15:H15" si="5">SUM(G4:G14)</f>
        <v>405105</v>
      </c>
      <c r="H15" s="18">
        <f t="shared" si="5"/>
        <v>625671</v>
      </c>
      <c r="I15" s="35"/>
      <c r="J15" s="4"/>
      <c r="K15" s="4"/>
    </row>
    <row r="16" spans="1:15" x14ac:dyDescent="0.25">
      <c r="A16" s="2" t="s">
        <v>18</v>
      </c>
      <c r="B16" s="4"/>
      <c r="C16" s="14"/>
      <c r="D16" s="14"/>
      <c r="E16" s="14"/>
      <c r="F16" s="14"/>
      <c r="G16" s="14"/>
      <c r="H16" s="14"/>
      <c r="I16" s="33"/>
      <c r="J16" s="4"/>
      <c r="K16" s="4"/>
    </row>
    <row r="17" spans="1:11" ht="30" x14ac:dyDescent="0.25">
      <c r="A17" s="5" t="s">
        <v>102</v>
      </c>
      <c r="B17" s="5" t="s">
        <v>19</v>
      </c>
      <c r="C17" s="15">
        <v>17</v>
      </c>
      <c r="D17" s="15"/>
      <c r="E17" s="15">
        <v>4218.2</v>
      </c>
      <c r="F17" s="15">
        <f>C17*E17-5905.48-4218.2*2</f>
        <v>57367.519999999997</v>
      </c>
      <c r="G17" s="15">
        <v>57367.519999999997</v>
      </c>
      <c r="H17" s="15">
        <f t="shared" ref="H17:H41" si="6">F17-G17</f>
        <v>0</v>
      </c>
      <c r="I17" s="34">
        <v>44124</v>
      </c>
      <c r="J17" s="5" t="s">
        <v>216</v>
      </c>
      <c r="K17" s="6" t="s">
        <v>0</v>
      </c>
    </row>
    <row r="18" spans="1:11" ht="45" x14ac:dyDescent="0.25">
      <c r="A18" s="7" t="s">
        <v>103</v>
      </c>
      <c r="B18" s="7" t="s">
        <v>80</v>
      </c>
      <c r="C18" s="16">
        <v>3.0430000000000001</v>
      </c>
      <c r="D18" s="16"/>
      <c r="E18" s="16">
        <v>5623.95</v>
      </c>
      <c r="F18" s="15">
        <f>C18*E18-3422.74</f>
        <v>13690.939850000001</v>
      </c>
      <c r="G18" s="15">
        <v>13690.939850000001</v>
      </c>
      <c r="H18" s="15">
        <f t="shared" si="6"/>
        <v>0</v>
      </c>
      <c r="I18" s="34">
        <v>44124</v>
      </c>
      <c r="J18" s="5" t="s">
        <v>216</v>
      </c>
      <c r="K18" s="9" t="s">
        <v>81</v>
      </c>
    </row>
    <row r="19" spans="1:11" ht="45" x14ac:dyDescent="0.25">
      <c r="A19" s="7" t="s">
        <v>104</v>
      </c>
      <c r="B19" s="7" t="s">
        <v>105</v>
      </c>
      <c r="C19" s="16">
        <v>7</v>
      </c>
      <c r="D19" s="16"/>
      <c r="E19" s="16">
        <v>3937.23</v>
      </c>
      <c r="F19" s="15">
        <f>C19*E19-5512.12</f>
        <v>22048.49</v>
      </c>
      <c r="G19" s="15">
        <v>22048.49</v>
      </c>
      <c r="H19" s="15">
        <f t="shared" si="6"/>
        <v>0</v>
      </c>
      <c r="I19" s="34">
        <v>44124</v>
      </c>
      <c r="J19" s="5" t="s">
        <v>216</v>
      </c>
      <c r="K19" s="9" t="s">
        <v>82</v>
      </c>
    </row>
    <row r="20" spans="1:11" x14ac:dyDescent="0.25">
      <c r="A20" s="7" t="s">
        <v>217</v>
      </c>
      <c r="B20" s="7"/>
      <c r="C20" s="16"/>
      <c r="D20" s="16"/>
      <c r="E20" s="16"/>
      <c r="F20" s="15"/>
      <c r="G20" s="15"/>
      <c r="H20" s="15"/>
      <c r="I20" s="34"/>
      <c r="J20" s="5"/>
      <c r="K20" s="9"/>
    </row>
    <row r="21" spans="1:11" x14ac:dyDescent="0.25">
      <c r="A21" s="7" t="s">
        <v>214</v>
      </c>
      <c r="B21" s="7" t="s">
        <v>215</v>
      </c>
      <c r="C21" s="16">
        <v>1</v>
      </c>
      <c r="D21" s="16"/>
      <c r="E21" s="16">
        <v>2500</v>
      </c>
      <c r="F21" s="15">
        <f>C21*E21</f>
        <v>2500</v>
      </c>
      <c r="G21" s="15">
        <v>2500</v>
      </c>
      <c r="H21" s="15">
        <f t="shared" si="6"/>
        <v>0</v>
      </c>
      <c r="I21" s="34">
        <v>44124</v>
      </c>
      <c r="J21" s="5" t="s">
        <v>216</v>
      </c>
      <c r="K21" s="9"/>
    </row>
    <row r="22" spans="1:11" ht="38.25" x14ac:dyDescent="0.25">
      <c r="A22" s="7" t="s">
        <v>106</v>
      </c>
      <c r="B22" s="7" t="s">
        <v>147</v>
      </c>
      <c r="C22" s="16">
        <v>5</v>
      </c>
      <c r="D22" s="16"/>
      <c r="E22" s="16">
        <f>8500-8500*25%</f>
        <v>6375</v>
      </c>
      <c r="F22" s="15">
        <f t="shared" si="4"/>
        <v>31875</v>
      </c>
      <c r="G22" s="15"/>
      <c r="H22" s="15">
        <f t="shared" si="6"/>
        <v>31875</v>
      </c>
      <c r="I22" s="34"/>
      <c r="J22" s="7" t="s">
        <v>108</v>
      </c>
      <c r="K22" s="8"/>
    </row>
    <row r="23" spans="1:11" ht="30" x14ac:dyDescent="0.25">
      <c r="A23" s="5" t="s">
        <v>20</v>
      </c>
      <c r="B23" s="5" t="s">
        <v>21</v>
      </c>
      <c r="C23" s="15">
        <f>31.6+31.6*10%</f>
        <v>34.760000000000005</v>
      </c>
      <c r="D23" s="15"/>
      <c r="E23" s="15">
        <v>710</v>
      </c>
      <c r="F23" s="15">
        <f t="shared" si="4"/>
        <v>24679.600000000002</v>
      </c>
      <c r="G23" s="15"/>
      <c r="H23" s="15">
        <f t="shared" si="6"/>
        <v>24679.600000000002</v>
      </c>
      <c r="I23" s="34"/>
      <c r="J23" s="5"/>
      <c r="K23" s="9" t="s">
        <v>22</v>
      </c>
    </row>
    <row r="24" spans="1:11" x14ac:dyDescent="0.25">
      <c r="A24" s="7" t="s">
        <v>146</v>
      </c>
      <c r="B24" s="7" t="s">
        <v>149</v>
      </c>
      <c r="C24" s="16">
        <v>1</v>
      </c>
      <c r="D24" s="16"/>
      <c r="E24" s="16">
        <f>8500-8500*25%</f>
        <v>6375</v>
      </c>
      <c r="F24" s="15">
        <f t="shared" si="4"/>
        <v>6375</v>
      </c>
      <c r="G24" s="15"/>
      <c r="H24" s="15">
        <f t="shared" si="6"/>
        <v>6375</v>
      </c>
      <c r="I24" s="34"/>
      <c r="J24" s="7" t="s">
        <v>107</v>
      </c>
      <c r="K24" s="8"/>
    </row>
    <row r="25" spans="1:11" x14ac:dyDescent="0.25">
      <c r="A25" s="7" t="s">
        <v>109</v>
      </c>
      <c r="B25" s="7" t="s">
        <v>112</v>
      </c>
      <c r="C25" s="16">
        <v>1</v>
      </c>
      <c r="D25" s="16"/>
      <c r="E25" s="16">
        <v>20943.900000000001</v>
      </c>
      <c r="F25" s="15">
        <f t="shared" si="4"/>
        <v>20943.900000000001</v>
      </c>
      <c r="G25" s="15">
        <f>E25</f>
        <v>20943.900000000001</v>
      </c>
      <c r="H25" s="15">
        <f t="shared" si="6"/>
        <v>0</v>
      </c>
      <c r="I25" s="34">
        <v>44108</v>
      </c>
      <c r="J25" s="7" t="s">
        <v>113</v>
      </c>
      <c r="K25" s="8"/>
    </row>
    <row r="26" spans="1:11" ht="25.5" x14ac:dyDescent="0.25">
      <c r="A26" s="7" t="s">
        <v>110</v>
      </c>
      <c r="B26" s="7" t="s">
        <v>112</v>
      </c>
      <c r="C26" s="16">
        <v>1</v>
      </c>
      <c r="D26" s="16"/>
      <c r="E26" s="16">
        <v>26179.87</v>
      </c>
      <c r="F26" s="15">
        <f t="shared" si="4"/>
        <v>26179.87</v>
      </c>
      <c r="G26" s="15">
        <f t="shared" ref="G26:G27" si="7">E26</f>
        <v>26179.87</v>
      </c>
      <c r="H26" s="15">
        <f t="shared" si="6"/>
        <v>0</v>
      </c>
      <c r="I26" s="34">
        <v>44108</v>
      </c>
      <c r="J26" s="7" t="s">
        <v>114</v>
      </c>
      <c r="K26" s="8"/>
    </row>
    <row r="27" spans="1:11" ht="25.5" x14ac:dyDescent="0.25">
      <c r="A27" s="7" t="s">
        <v>131</v>
      </c>
      <c r="B27" s="7" t="s">
        <v>133</v>
      </c>
      <c r="C27" s="16">
        <v>1</v>
      </c>
      <c r="D27" s="16"/>
      <c r="E27" s="16">
        <f>2652.75+169.69+4260.96+2751.84</f>
        <v>9835.24</v>
      </c>
      <c r="F27" s="15">
        <f t="shared" si="4"/>
        <v>9835.24</v>
      </c>
      <c r="G27" s="15">
        <f t="shared" si="7"/>
        <v>9835.24</v>
      </c>
      <c r="H27" s="15">
        <f t="shared" si="6"/>
        <v>0</v>
      </c>
      <c r="I27" s="34">
        <v>44108</v>
      </c>
      <c r="J27" s="7" t="s">
        <v>132</v>
      </c>
      <c r="K27" s="8"/>
    </row>
    <row r="28" spans="1:11" x14ac:dyDescent="0.25">
      <c r="A28" s="7" t="s">
        <v>23</v>
      </c>
      <c r="B28" s="7" t="s">
        <v>111</v>
      </c>
      <c r="C28" s="16">
        <v>1</v>
      </c>
      <c r="D28" s="16"/>
      <c r="E28" s="16">
        <v>41600</v>
      </c>
      <c r="F28" s="15">
        <f t="shared" si="4"/>
        <v>41600</v>
      </c>
      <c r="G28" s="15">
        <v>41600</v>
      </c>
      <c r="H28" s="15">
        <f t="shared" si="6"/>
        <v>0</v>
      </c>
      <c r="I28" s="34">
        <v>44109</v>
      </c>
      <c r="J28" s="46" t="s">
        <v>202</v>
      </c>
      <c r="K28" s="8"/>
    </row>
    <row r="29" spans="1:11" x14ac:dyDescent="0.25">
      <c r="A29" s="7" t="s">
        <v>135</v>
      </c>
      <c r="B29" s="7" t="s">
        <v>111</v>
      </c>
      <c r="C29" s="16">
        <v>1</v>
      </c>
      <c r="D29" s="16"/>
      <c r="E29" s="16">
        <f>7400+3500+3000+3000</f>
        <v>16900</v>
      </c>
      <c r="F29" s="15">
        <f t="shared" si="4"/>
        <v>16900</v>
      </c>
      <c r="G29" s="15">
        <v>3000</v>
      </c>
      <c r="H29" s="15">
        <f t="shared" si="6"/>
        <v>13900</v>
      </c>
      <c r="I29" s="34">
        <v>44135</v>
      </c>
      <c r="J29" s="47"/>
      <c r="K29" s="8"/>
    </row>
    <row r="30" spans="1:11" x14ac:dyDescent="0.25">
      <c r="A30" s="7" t="s">
        <v>126</v>
      </c>
      <c r="B30" s="7" t="s">
        <v>128</v>
      </c>
      <c r="C30" s="16">
        <v>3</v>
      </c>
      <c r="D30" s="16">
        <f>143.36-143.36*20%</f>
        <v>114.68800000000002</v>
      </c>
      <c r="E30" s="16">
        <f>D30*$O$1</f>
        <v>10631.577600000002</v>
      </c>
      <c r="F30" s="15">
        <f t="shared" si="4"/>
        <v>31894.732800000005</v>
      </c>
      <c r="G30" s="15">
        <v>27000</v>
      </c>
      <c r="H30" s="15">
        <f t="shared" si="6"/>
        <v>4894.7328000000052</v>
      </c>
      <c r="I30" s="34">
        <v>44145</v>
      </c>
      <c r="J30" s="7"/>
      <c r="K30" s="8"/>
    </row>
    <row r="31" spans="1:11" x14ac:dyDescent="0.25">
      <c r="A31" s="7" t="s">
        <v>134</v>
      </c>
      <c r="B31" s="7" t="s">
        <v>128</v>
      </c>
      <c r="C31" s="16">
        <v>1</v>
      </c>
      <c r="D31" s="16">
        <f>46.13-46.13*20%</f>
        <v>36.904000000000003</v>
      </c>
      <c r="E31" s="16">
        <f>D31*$O$1</f>
        <v>3421.0008000000003</v>
      </c>
      <c r="F31" s="15">
        <f t="shared" si="4"/>
        <v>3421.0008000000003</v>
      </c>
      <c r="G31" s="15"/>
      <c r="H31" s="15">
        <f t="shared" si="6"/>
        <v>3421.0008000000003</v>
      </c>
      <c r="I31" s="34">
        <v>44145</v>
      </c>
      <c r="J31" s="7"/>
      <c r="K31" s="8"/>
    </row>
    <row r="32" spans="1:11" x14ac:dyDescent="0.25">
      <c r="A32" s="7" t="s">
        <v>127</v>
      </c>
      <c r="B32" s="7" t="s">
        <v>128</v>
      </c>
      <c r="C32" s="16">
        <v>2</v>
      </c>
      <c r="D32" s="16">
        <f>126.77-126.77*20%</f>
        <v>101.416</v>
      </c>
      <c r="E32" s="16">
        <f>D32*$O$1</f>
        <v>9401.2631999999994</v>
      </c>
      <c r="F32" s="15">
        <f t="shared" si="4"/>
        <v>18802.526399999999</v>
      </c>
      <c r="G32" s="15">
        <v>10000</v>
      </c>
      <c r="H32" s="15">
        <f t="shared" si="6"/>
        <v>8802.5263999999988</v>
      </c>
      <c r="I32" s="34">
        <v>44145</v>
      </c>
      <c r="J32" s="7"/>
      <c r="K32" s="8"/>
    </row>
    <row r="33" spans="1:11" x14ac:dyDescent="0.25">
      <c r="A33" s="7" t="s">
        <v>24</v>
      </c>
      <c r="B33" s="7" t="s">
        <v>115</v>
      </c>
      <c r="C33" s="16">
        <v>1</v>
      </c>
      <c r="D33" s="16"/>
      <c r="E33" s="16">
        <v>88154</v>
      </c>
      <c r="F33" s="15">
        <f t="shared" si="4"/>
        <v>88154</v>
      </c>
      <c r="G33" s="15">
        <v>65000</v>
      </c>
      <c r="H33" s="15">
        <f t="shared" si="6"/>
        <v>23154</v>
      </c>
      <c r="I33" s="34">
        <v>44121</v>
      </c>
      <c r="J33" s="7" t="s">
        <v>178</v>
      </c>
      <c r="K33" s="8"/>
    </row>
    <row r="34" spans="1:11" x14ac:dyDescent="0.25">
      <c r="A34" s="7" t="s">
        <v>142</v>
      </c>
      <c r="B34" s="7" t="s">
        <v>115</v>
      </c>
      <c r="C34" s="16">
        <v>1</v>
      </c>
      <c r="D34" s="16"/>
      <c r="E34" s="16">
        <f>8500+3500</f>
        <v>12000</v>
      </c>
      <c r="F34" s="15">
        <f t="shared" si="4"/>
        <v>12000</v>
      </c>
      <c r="G34" s="15"/>
      <c r="H34" s="15">
        <f t="shared" si="6"/>
        <v>12000</v>
      </c>
      <c r="I34" s="34">
        <v>44166</v>
      </c>
      <c r="J34" s="7"/>
      <c r="K34" s="8"/>
    </row>
    <row r="35" spans="1:11" x14ac:dyDescent="0.25">
      <c r="A35" s="7" t="s">
        <v>143</v>
      </c>
      <c r="B35" s="7" t="s">
        <v>145</v>
      </c>
      <c r="C35" s="16">
        <v>1</v>
      </c>
      <c r="D35" s="16"/>
      <c r="E35" s="16">
        <v>48005</v>
      </c>
      <c r="F35" s="15">
        <f t="shared" si="4"/>
        <v>48005</v>
      </c>
      <c r="G35" s="15">
        <v>48005</v>
      </c>
      <c r="H35" s="15">
        <f t="shared" si="6"/>
        <v>0</v>
      </c>
      <c r="I35" s="34">
        <v>44102</v>
      </c>
      <c r="J35" s="7"/>
      <c r="K35" s="8"/>
    </row>
    <row r="36" spans="1:11" ht="25.5" x14ac:dyDescent="0.25">
      <c r="A36" s="7" t="s">
        <v>144</v>
      </c>
      <c r="B36" s="7" t="s">
        <v>145</v>
      </c>
      <c r="C36" s="16">
        <v>1</v>
      </c>
      <c r="D36" s="16"/>
      <c r="E36" s="16">
        <v>15141</v>
      </c>
      <c r="F36" s="15">
        <f t="shared" si="4"/>
        <v>15141</v>
      </c>
      <c r="G36" s="15">
        <v>15141</v>
      </c>
      <c r="H36" s="15">
        <f t="shared" si="6"/>
        <v>0</v>
      </c>
      <c r="I36" s="34">
        <v>43890</v>
      </c>
      <c r="J36" s="7"/>
      <c r="K36" s="8"/>
    </row>
    <row r="37" spans="1:11" ht="25.5" x14ac:dyDescent="0.25">
      <c r="A37" s="7" t="s">
        <v>136</v>
      </c>
      <c r="B37" s="7" t="s">
        <v>116</v>
      </c>
      <c r="C37" s="16">
        <f>2.31+2.31*10%</f>
        <v>2.5409999999999999</v>
      </c>
      <c r="D37" s="16"/>
      <c r="E37" s="16">
        <v>4000</v>
      </c>
      <c r="F37" s="15">
        <f t="shared" si="4"/>
        <v>10164</v>
      </c>
      <c r="G37" s="15"/>
      <c r="H37" s="15">
        <f t="shared" si="6"/>
        <v>10164</v>
      </c>
      <c r="I37" s="34"/>
      <c r="J37" s="7"/>
      <c r="K37" s="8"/>
    </row>
    <row r="38" spans="1:11" x14ac:dyDescent="0.25">
      <c r="A38" s="7" t="s">
        <v>8</v>
      </c>
      <c r="B38" s="7"/>
      <c r="C38" s="16">
        <v>1</v>
      </c>
      <c r="D38" s="16"/>
      <c r="E38" s="16">
        <v>67400</v>
      </c>
      <c r="F38" s="15">
        <f t="shared" si="4"/>
        <v>67400</v>
      </c>
      <c r="G38" s="15">
        <v>67400</v>
      </c>
      <c r="H38" s="15">
        <f t="shared" si="6"/>
        <v>0</v>
      </c>
      <c r="I38" s="34">
        <v>44097</v>
      </c>
      <c r="J38" s="7"/>
      <c r="K38" s="8"/>
    </row>
    <row r="39" spans="1:11" ht="25.5" x14ac:dyDescent="0.25">
      <c r="A39" s="7" t="s">
        <v>148</v>
      </c>
      <c r="B39" s="7"/>
      <c r="C39" s="16">
        <v>1</v>
      </c>
      <c r="D39" s="16"/>
      <c r="E39" s="16">
        <v>16000</v>
      </c>
      <c r="F39" s="15">
        <f t="shared" si="4"/>
        <v>16000</v>
      </c>
      <c r="G39" s="15">
        <v>16000</v>
      </c>
      <c r="H39" s="15">
        <f t="shared" si="6"/>
        <v>0</v>
      </c>
      <c r="I39" s="34">
        <v>44098</v>
      </c>
      <c r="J39" s="7"/>
      <c r="K39" s="8"/>
    </row>
    <row r="40" spans="1:11" x14ac:dyDescent="0.25">
      <c r="A40" s="7" t="s">
        <v>118</v>
      </c>
      <c r="B40" s="7"/>
      <c r="C40" s="16">
        <v>1</v>
      </c>
      <c r="D40" s="16"/>
      <c r="E40" s="16">
        <f>917+2700</f>
        <v>3617</v>
      </c>
      <c r="F40" s="15">
        <f t="shared" si="4"/>
        <v>3617</v>
      </c>
      <c r="G40" s="15">
        <v>3617</v>
      </c>
      <c r="H40" s="15">
        <f t="shared" si="6"/>
        <v>0</v>
      </c>
      <c r="I40" s="34"/>
      <c r="J40" s="7"/>
      <c r="K40" s="8"/>
    </row>
    <row r="41" spans="1:11" x14ac:dyDescent="0.25">
      <c r="A41" s="7" t="s">
        <v>119</v>
      </c>
      <c r="B41" s="7"/>
      <c r="C41" s="16">
        <v>1</v>
      </c>
      <c r="D41" s="16"/>
      <c r="E41" s="16">
        <v>15000</v>
      </c>
      <c r="F41" s="15">
        <f t="shared" si="4"/>
        <v>15000</v>
      </c>
      <c r="G41" s="15"/>
      <c r="H41" s="15">
        <f t="shared" si="6"/>
        <v>15000</v>
      </c>
      <c r="I41" s="34"/>
      <c r="J41" s="7"/>
      <c r="K41" s="8"/>
    </row>
    <row r="42" spans="1:11" x14ac:dyDescent="0.25">
      <c r="A42" s="40" t="s">
        <v>140</v>
      </c>
      <c r="B42" s="41"/>
      <c r="C42" s="41"/>
      <c r="D42" s="41"/>
      <c r="E42" s="42"/>
      <c r="F42" s="18">
        <f>SUM(F17:F41)</f>
        <v>603594.81984999985</v>
      </c>
      <c r="G42" s="18">
        <f t="shared" ref="G42:H42" si="8">SUM(G17:G41)</f>
        <v>449328.95984999998</v>
      </c>
      <c r="H42" s="18">
        <f t="shared" si="8"/>
        <v>154265.85999999999</v>
      </c>
      <c r="I42" s="35"/>
      <c r="J42" s="4"/>
      <c r="K42" s="4"/>
    </row>
    <row r="43" spans="1:11" x14ac:dyDescent="0.25">
      <c r="A43" s="2" t="s">
        <v>25</v>
      </c>
      <c r="B43" s="2"/>
      <c r="C43" s="14"/>
      <c r="D43" s="14"/>
      <c r="E43" s="14"/>
      <c r="F43" s="14"/>
      <c r="G43" s="14"/>
      <c r="H43" s="14"/>
      <c r="I43" s="33"/>
      <c r="J43" s="4"/>
      <c r="K43" s="4"/>
    </row>
    <row r="44" spans="1:11" ht="25.5" x14ac:dyDescent="0.25">
      <c r="A44" s="7" t="s">
        <v>26</v>
      </c>
      <c r="B44" s="7"/>
      <c r="C44" s="16">
        <v>1</v>
      </c>
      <c r="D44" s="17"/>
      <c r="E44" s="16">
        <v>45500</v>
      </c>
      <c r="F44" s="23">
        <f t="shared" ref="F44:F46" si="9">C44*E44</f>
        <v>45500</v>
      </c>
      <c r="G44" s="23"/>
      <c r="H44" s="15">
        <f t="shared" ref="H44:H63" si="10">F44-G44</f>
        <v>45500</v>
      </c>
      <c r="I44" s="36"/>
      <c r="J44" s="7" t="s">
        <v>27</v>
      </c>
      <c r="K44" s="10" t="s">
        <v>28</v>
      </c>
    </row>
    <row r="45" spans="1:11" x14ac:dyDescent="0.25">
      <c r="A45" s="7" t="s">
        <v>29</v>
      </c>
      <c r="B45" s="7"/>
      <c r="C45" s="16">
        <v>1</v>
      </c>
      <c r="D45" s="17"/>
      <c r="E45" s="16">
        <v>0</v>
      </c>
      <c r="F45" s="24">
        <v>0</v>
      </c>
      <c r="G45" s="24"/>
      <c r="H45" s="15">
        <f t="shared" si="10"/>
        <v>0</v>
      </c>
      <c r="I45" s="37"/>
      <c r="J45" s="7" t="s">
        <v>193</v>
      </c>
      <c r="K45" s="10" t="s">
        <v>30</v>
      </c>
    </row>
    <row r="46" spans="1:11" x14ac:dyDescent="0.25">
      <c r="A46" s="7" t="s">
        <v>31</v>
      </c>
      <c r="B46" s="7"/>
      <c r="C46" s="16">
        <v>1</v>
      </c>
      <c r="D46" s="17"/>
      <c r="E46" s="16">
        <v>10000</v>
      </c>
      <c r="F46" s="23">
        <f t="shared" si="9"/>
        <v>10000</v>
      </c>
      <c r="G46" s="24"/>
      <c r="H46" s="15">
        <f t="shared" si="10"/>
        <v>10000</v>
      </c>
      <c r="I46" s="37"/>
      <c r="J46" s="7" t="s">
        <v>192</v>
      </c>
      <c r="K46" s="8"/>
    </row>
    <row r="47" spans="1:11" ht="25.5" x14ac:dyDescent="0.25">
      <c r="A47" s="7" t="s">
        <v>32</v>
      </c>
      <c r="B47" s="7"/>
      <c r="C47" s="16">
        <v>2</v>
      </c>
      <c r="D47" s="16">
        <v>650</v>
      </c>
      <c r="E47" s="16">
        <f>D47*$O$1</f>
        <v>60255</v>
      </c>
      <c r="F47" s="23">
        <v>120274</v>
      </c>
      <c r="G47" s="23">
        <v>120274</v>
      </c>
      <c r="H47" s="15">
        <f t="shared" si="10"/>
        <v>0</v>
      </c>
      <c r="I47" s="36"/>
      <c r="J47" s="7" t="s">
        <v>33</v>
      </c>
      <c r="K47" s="10" t="s">
        <v>34</v>
      </c>
    </row>
    <row r="48" spans="1:11" ht="38.25" x14ac:dyDescent="0.25">
      <c r="A48" s="7" t="s">
        <v>4</v>
      </c>
      <c r="B48" s="7"/>
      <c r="C48" s="16">
        <v>1</v>
      </c>
      <c r="D48" s="17"/>
      <c r="E48" s="16">
        <v>10999</v>
      </c>
      <c r="F48" s="23">
        <f t="shared" ref="F48:F63" si="11">C48*E48</f>
        <v>10999</v>
      </c>
      <c r="G48" s="23"/>
      <c r="H48" s="15">
        <f t="shared" si="10"/>
        <v>10999</v>
      </c>
      <c r="I48" s="36"/>
      <c r="J48" s="7" t="s">
        <v>152</v>
      </c>
      <c r="K48" s="8" t="s">
        <v>151</v>
      </c>
    </row>
    <row r="49" spans="1:11" x14ac:dyDescent="0.25">
      <c r="A49" s="7" t="s">
        <v>47</v>
      </c>
      <c r="B49" s="7"/>
      <c r="C49" s="16">
        <v>1</v>
      </c>
      <c r="D49" s="16"/>
      <c r="E49" s="16">
        <v>16999</v>
      </c>
      <c r="F49" s="23">
        <f t="shared" si="11"/>
        <v>16999</v>
      </c>
      <c r="G49" s="23"/>
      <c r="H49" s="15">
        <f t="shared" si="10"/>
        <v>16999</v>
      </c>
      <c r="I49" s="36"/>
      <c r="J49" s="7" t="s">
        <v>153</v>
      </c>
      <c r="K49" s="10" t="s">
        <v>154</v>
      </c>
    </row>
    <row r="50" spans="1:11" x14ac:dyDescent="0.25">
      <c r="A50" s="7" t="s">
        <v>155</v>
      </c>
      <c r="B50" s="7"/>
      <c r="C50" s="16">
        <v>1</v>
      </c>
      <c r="D50" s="16"/>
      <c r="E50" s="16">
        <v>25000</v>
      </c>
      <c r="F50" s="23">
        <f t="shared" si="11"/>
        <v>25000</v>
      </c>
      <c r="G50" s="23"/>
      <c r="H50" s="15">
        <f t="shared" si="10"/>
        <v>25000</v>
      </c>
      <c r="I50" s="36"/>
      <c r="J50" s="7" t="s">
        <v>156</v>
      </c>
      <c r="K50" s="10"/>
    </row>
    <row r="51" spans="1:11" x14ac:dyDescent="0.25">
      <c r="A51" s="7" t="s">
        <v>48</v>
      </c>
      <c r="B51" s="7"/>
      <c r="C51" s="16">
        <v>1</v>
      </c>
      <c r="D51" s="16"/>
      <c r="E51" s="16">
        <v>15499</v>
      </c>
      <c r="F51" s="23">
        <f t="shared" si="11"/>
        <v>15499</v>
      </c>
      <c r="G51" s="23"/>
      <c r="H51" s="15">
        <f t="shared" si="10"/>
        <v>15499</v>
      </c>
      <c r="I51" s="36"/>
      <c r="J51" s="7" t="s">
        <v>49</v>
      </c>
      <c r="K51" s="10" t="s">
        <v>50</v>
      </c>
    </row>
    <row r="52" spans="1:11" x14ac:dyDescent="0.25">
      <c r="A52" s="7" t="s">
        <v>3</v>
      </c>
      <c r="B52" s="7"/>
      <c r="C52" s="16">
        <v>1</v>
      </c>
      <c r="D52" s="16"/>
      <c r="E52" s="16">
        <v>47000</v>
      </c>
      <c r="F52" s="23">
        <f t="shared" si="11"/>
        <v>47000</v>
      </c>
      <c r="G52" s="23">
        <f>E52*0.7-18800</f>
        <v>14100</v>
      </c>
      <c r="H52" s="15">
        <f t="shared" si="10"/>
        <v>32900</v>
      </c>
      <c r="I52" s="36">
        <v>44165</v>
      </c>
      <c r="J52" s="7" t="s">
        <v>51</v>
      </c>
      <c r="K52" s="8"/>
    </row>
    <row r="53" spans="1:11" x14ac:dyDescent="0.25">
      <c r="A53" s="7" t="s">
        <v>52</v>
      </c>
      <c r="B53" s="7"/>
      <c r="C53" s="16">
        <v>1</v>
      </c>
      <c r="D53" s="16"/>
      <c r="E53" s="16">
        <v>40000</v>
      </c>
      <c r="F53" s="23">
        <f t="shared" si="11"/>
        <v>40000</v>
      </c>
      <c r="G53" s="23"/>
      <c r="H53" s="15">
        <f t="shared" si="10"/>
        <v>40000</v>
      </c>
      <c r="I53" s="36"/>
      <c r="J53" s="7" t="s">
        <v>53</v>
      </c>
      <c r="K53" s="8"/>
    </row>
    <row r="54" spans="1:11" ht="25.5" x14ac:dyDescent="0.25">
      <c r="A54" s="7" t="s">
        <v>54</v>
      </c>
      <c r="B54" s="7"/>
      <c r="C54" s="16">
        <v>2</v>
      </c>
      <c r="D54" s="16"/>
      <c r="E54" s="16">
        <v>7000</v>
      </c>
      <c r="F54" s="23">
        <f t="shared" si="11"/>
        <v>14000</v>
      </c>
      <c r="G54" s="23"/>
      <c r="H54" s="15">
        <f t="shared" si="10"/>
        <v>14000</v>
      </c>
      <c r="I54" s="36"/>
      <c r="J54" s="7" t="s">
        <v>55</v>
      </c>
      <c r="K54" s="8"/>
    </row>
    <row r="55" spans="1:11" x14ac:dyDescent="0.25">
      <c r="A55" s="7" t="s">
        <v>56</v>
      </c>
      <c r="B55" s="7"/>
      <c r="C55" s="16">
        <v>1</v>
      </c>
      <c r="D55" s="16"/>
      <c r="E55" s="16">
        <v>38000</v>
      </c>
      <c r="F55" s="23">
        <f t="shared" si="11"/>
        <v>38000</v>
      </c>
      <c r="G55" s="23">
        <f>E55*0.7</f>
        <v>26600</v>
      </c>
      <c r="H55" s="15">
        <f t="shared" si="10"/>
        <v>11400</v>
      </c>
      <c r="I55" s="36">
        <v>44165</v>
      </c>
      <c r="J55" s="7" t="s">
        <v>57</v>
      </c>
      <c r="K55" s="8"/>
    </row>
    <row r="56" spans="1:11" x14ac:dyDescent="0.25">
      <c r="A56" s="7" t="s">
        <v>58</v>
      </c>
      <c r="B56" s="7"/>
      <c r="C56" s="16">
        <v>1</v>
      </c>
      <c r="D56" s="16"/>
      <c r="E56" s="16">
        <v>9999</v>
      </c>
      <c r="F56" s="23">
        <f t="shared" si="11"/>
        <v>9999</v>
      </c>
      <c r="G56" s="23"/>
      <c r="H56" s="15">
        <f t="shared" si="10"/>
        <v>9999</v>
      </c>
      <c r="I56" s="36"/>
      <c r="J56" s="7" t="s">
        <v>59</v>
      </c>
      <c r="K56" s="10" t="s">
        <v>60</v>
      </c>
    </row>
    <row r="57" spans="1:11" x14ac:dyDescent="0.25">
      <c r="A57" s="7" t="s">
        <v>9</v>
      </c>
      <c r="B57" s="7"/>
      <c r="C57" s="16">
        <v>1</v>
      </c>
      <c r="D57" s="16"/>
      <c r="E57" s="16">
        <f>20000+15000+3800+700+284+1285</f>
        <v>41069</v>
      </c>
      <c r="F57" s="23">
        <f t="shared" si="11"/>
        <v>41069</v>
      </c>
      <c r="G57" s="23">
        <v>41069</v>
      </c>
      <c r="H57" s="15">
        <f t="shared" si="10"/>
        <v>0</v>
      </c>
      <c r="I57" s="36" t="s">
        <v>203</v>
      </c>
      <c r="J57" s="7" t="s">
        <v>61</v>
      </c>
      <c r="K57" s="8"/>
    </row>
    <row r="58" spans="1:11" x14ac:dyDescent="0.25">
      <c r="A58" s="7" t="s">
        <v>62</v>
      </c>
      <c r="B58" s="7"/>
      <c r="C58" s="16">
        <v>1</v>
      </c>
      <c r="D58" s="16"/>
      <c r="E58" s="16">
        <v>48000</v>
      </c>
      <c r="F58" s="23">
        <f t="shared" si="11"/>
        <v>48000</v>
      </c>
      <c r="G58" s="23">
        <f>E58*0.7</f>
        <v>33600</v>
      </c>
      <c r="H58" s="15">
        <f t="shared" si="10"/>
        <v>14400</v>
      </c>
      <c r="I58" s="36">
        <v>44165</v>
      </c>
      <c r="J58" s="7" t="s">
        <v>63</v>
      </c>
      <c r="K58" s="8"/>
    </row>
    <row r="59" spans="1:11" ht="25.5" x14ac:dyDescent="0.25">
      <c r="A59" s="7" t="s">
        <v>64</v>
      </c>
      <c r="B59" s="7"/>
      <c r="C59" s="16">
        <v>1</v>
      </c>
      <c r="D59" s="16">
        <v>319</v>
      </c>
      <c r="E59" s="16">
        <f t="shared" ref="E59:E60" si="12">D59*$O$1</f>
        <v>29571.3</v>
      </c>
      <c r="F59" s="23">
        <f t="shared" si="11"/>
        <v>29571.3</v>
      </c>
      <c r="G59" s="23"/>
      <c r="H59" s="15">
        <f t="shared" si="10"/>
        <v>29571.3</v>
      </c>
      <c r="I59" s="36"/>
      <c r="J59" s="7" t="s">
        <v>65</v>
      </c>
      <c r="K59" s="10" t="s">
        <v>66</v>
      </c>
    </row>
    <row r="60" spans="1:11" ht="25.5" x14ac:dyDescent="0.25">
      <c r="A60" s="7" t="s">
        <v>67</v>
      </c>
      <c r="B60" s="7"/>
      <c r="C60" s="16">
        <v>1</v>
      </c>
      <c r="D60" s="16">
        <v>288</v>
      </c>
      <c r="E60" s="16">
        <f t="shared" si="12"/>
        <v>26697.600000000002</v>
      </c>
      <c r="F60" s="23">
        <f t="shared" si="11"/>
        <v>26697.600000000002</v>
      </c>
      <c r="G60" s="23"/>
      <c r="H60" s="15">
        <f t="shared" si="10"/>
        <v>26697.600000000002</v>
      </c>
      <c r="I60" s="36"/>
      <c r="J60" s="7" t="s">
        <v>68</v>
      </c>
      <c r="K60" s="10" t="s">
        <v>66</v>
      </c>
    </row>
    <row r="61" spans="1:11" x14ac:dyDescent="0.25">
      <c r="A61" s="7" t="s">
        <v>5</v>
      </c>
      <c r="B61" s="7"/>
      <c r="C61" s="16">
        <v>1</v>
      </c>
      <c r="D61" s="16"/>
      <c r="E61" s="16">
        <f>15000+309.39+948.46+768.6+577.11+6587.03+45000+7000+6500</f>
        <v>82690.59</v>
      </c>
      <c r="F61" s="23">
        <f t="shared" si="11"/>
        <v>82690.59</v>
      </c>
      <c r="G61" s="23">
        <f>24191+12000</f>
        <v>36191</v>
      </c>
      <c r="H61" s="15">
        <f t="shared" si="10"/>
        <v>46499.59</v>
      </c>
      <c r="I61" s="36">
        <v>44182</v>
      </c>
      <c r="J61" s="7" t="s">
        <v>69</v>
      </c>
      <c r="K61" s="10" t="s">
        <v>70</v>
      </c>
    </row>
    <row r="62" spans="1:11" x14ac:dyDescent="0.25">
      <c r="A62" s="7" t="s">
        <v>71</v>
      </c>
      <c r="B62" s="7"/>
      <c r="C62" s="16">
        <v>2</v>
      </c>
      <c r="D62" s="16"/>
      <c r="E62" s="16">
        <v>5000</v>
      </c>
      <c r="F62" s="23">
        <f t="shared" si="11"/>
        <v>10000</v>
      </c>
      <c r="G62" s="23"/>
      <c r="H62" s="15">
        <f t="shared" si="10"/>
        <v>10000</v>
      </c>
      <c r="I62" s="36"/>
      <c r="J62" s="7" t="s">
        <v>55</v>
      </c>
      <c r="K62" s="8"/>
    </row>
    <row r="63" spans="1:11" x14ac:dyDescent="0.25">
      <c r="A63" s="7" t="s">
        <v>72</v>
      </c>
      <c r="B63" s="7"/>
      <c r="C63" s="16">
        <v>1</v>
      </c>
      <c r="D63" s="16"/>
      <c r="E63" s="16">
        <v>165500</v>
      </c>
      <c r="F63" s="23">
        <f t="shared" si="11"/>
        <v>165500</v>
      </c>
      <c r="G63" s="23"/>
      <c r="H63" s="15">
        <f t="shared" si="10"/>
        <v>165500</v>
      </c>
      <c r="I63" s="36" t="s">
        <v>204</v>
      </c>
      <c r="J63" s="7" t="s">
        <v>158</v>
      </c>
      <c r="K63" s="10" t="s">
        <v>73</v>
      </c>
    </row>
    <row r="64" spans="1:11" x14ac:dyDescent="0.25">
      <c r="A64" s="40" t="s">
        <v>157</v>
      </c>
      <c r="B64" s="41"/>
      <c r="C64" s="41"/>
      <c r="D64" s="41"/>
      <c r="E64" s="42"/>
      <c r="F64" s="18">
        <f>SUM(F44:F63)</f>
        <v>796798.49</v>
      </c>
      <c r="G64" s="18">
        <f t="shared" ref="G64:H64" si="13">SUM(G44:G63)</f>
        <v>271834</v>
      </c>
      <c r="H64" s="18">
        <f t="shared" si="13"/>
        <v>524964.49</v>
      </c>
      <c r="I64" s="35"/>
      <c r="J64" s="4"/>
      <c r="K64" s="4"/>
    </row>
    <row r="65" spans="1:11" x14ac:dyDescent="0.25">
      <c r="A65" s="2" t="s">
        <v>159</v>
      </c>
      <c r="B65" s="2"/>
      <c r="C65" s="14"/>
      <c r="D65" s="14"/>
      <c r="E65" s="14"/>
      <c r="F65" s="14"/>
      <c r="G65" s="14"/>
      <c r="H65" s="14"/>
      <c r="I65" s="33"/>
      <c r="J65" s="4"/>
      <c r="K65" s="4"/>
    </row>
    <row r="66" spans="1:11" x14ac:dyDescent="0.25">
      <c r="A66" s="7" t="s">
        <v>83</v>
      </c>
      <c r="B66" s="7"/>
      <c r="C66" s="16">
        <v>1</v>
      </c>
      <c r="D66" s="17"/>
      <c r="E66" s="16">
        <v>43000</v>
      </c>
      <c r="F66" s="23">
        <f t="shared" ref="F66:F80" si="14">C66*E66</f>
        <v>43000</v>
      </c>
      <c r="G66" s="23">
        <f>E66*0.7</f>
        <v>30099.999999999996</v>
      </c>
      <c r="H66" s="15">
        <f t="shared" ref="H66:H80" si="15">F66-G66</f>
        <v>12900.000000000004</v>
      </c>
      <c r="I66" s="36">
        <v>44165</v>
      </c>
      <c r="J66" s="7" t="s">
        <v>211</v>
      </c>
      <c r="K66" s="10"/>
    </row>
    <row r="67" spans="1:11" ht="25.5" x14ac:dyDescent="0.25">
      <c r="A67" s="7" t="s">
        <v>84</v>
      </c>
      <c r="B67" s="7"/>
      <c r="C67" s="16">
        <v>1</v>
      </c>
      <c r="D67" s="17"/>
      <c r="E67" s="16">
        <v>12999</v>
      </c>
      <c r="F67" s="23">
        <f t="shared" si="14"/>
        <v>12999</v>
      </c>
      <c r="G67" s="23">
        <v>0</v>
      </c>
      <c r="H67" s="15">
        <f t="shared" si="15"/>
        <v>12999</v>
      </c>
      <c r="I67" s="36"/>
      <c r="J67" s="7" t="s">
        <v>85</v>
      </c>
      <c r="K67" s="10" t="s">
        <v>86</v>
      </c>
    </row>
    <row r="68" spans="1:11" s="30" customFormat="1" x14ac:dyDescent="0.25">
      <c r="A68" s="25" t="s">
        <v>87</v>
      </c>
      <c r="B68" s="25"/>
      <c r="C68" s="26">
        <v>1</v>
      </c>
      <c r="D68" s="27"/>
      <c r="E68" s="26">
        <v>4500</v>
      </c>
      <c r="F68" s="28">
        <f t="shared" si="14"/>
        <v>4500</v>
      </c>
      <c r="G68" s="23">
        <v>0</v>
      </c>
      <c r="H68" s="26">
        <f t="shared" si="15"/>
        <v>4500</v>
      </c>
      <c r="I68" s="38"/>
      <c r="J68" s="25" t="s">
        <v>88</v>
      </c>
      <c r="K68" s="29" t="s">
        <v>89</v>
      </c>
    </row>
    <row r="69" spans="1:11" x14ac:dyDescent="0.25">
      <c r="A69" s="7" t="s">
        <v>161</v>
      </c>
      <c r="B69" s="7"/>
      <c r="C69" s="16">
        <v>1</v>
      </c>
      <c r="D69" s="17"/>
      <c r="E69" s="16">
        <v>4155</v>
      </c>
      <c r="F69" s="23">
        <f t="shared" si="14"/>
        <v>4155</v>
      </c>
      <c r="G69" s="23">
        <v>4155</v>
      </c>
      <c r="H69" s="15">
        <f t="shared" si="15"/>
        <v>0</v>
      </c>
      <c r="I69" s="36" t="s">
        <v>203</v>
      </c>
      <c r="J69" s="7"/>
      <c r="K69" s="10" t="s">
        <v>175</v>
      </c>
    </row>
    <row r="70" spans="1:11" x14ac:dyDescent="0.25">
      <c r="A70" s="7" t="s">
        <v>162</v>
      </c>
      <c r="B70" s="7"/>
      <c r="C70" s="16">
        <v>1</v>
      </c>
      <c r="D70" s="17"/>
      <c r="E70" s="16">
        <v>23592</v>
      </c>
      <c r="F70" s="23">
        <f t="shared" si="14"/>
        <v>23592</v>
      </c>
      <c r="G70" s="23">
        <v>23592</v>
      </c>
      <c r="H70" s="15">
        <f t="shared" si="15"/>
        <v>0</v>
      </c>
      <c r="I70" s="36" t="s">
        <v>203</v>
      </c>
      <c r="J70" s="7"/>
      <c r="K70" s="10" t="s">
        <v>176</v>
      </c>
    </row>
    <row r="71" spans="1:11" ht="38.25" x14ac:dyDescent="0.25">
      <c r="A71" s="7" t="s">
        <v>1</v>
      </c>
      <c r="B71" s="7"/>
      <c r="C71" s="16">
        <v>1</v>
      </c>
      <c r="D71" s="17"/>
      <c r="E71" s="16">
        <v>20486.73</v>
      </c>
      <c r="F71" s="23">
        <f t="shared" si="14"/>
        <v>20486.73</v>
      </c>
      <c r="G71" s="23">
        <v>20486.73</v>
      </c>
      <c r="H71" s="15">
        <f t="shared" si="15"/>
        <v>0</v>
      </c>
      <c r="I71" s="36">
        <v>44132</v>
      </c>
      <c r="J71" s="7" t="s">
        <v>189</v>
      </c>
      <c r="K71" s="8"/>
    </row>
    <row r="72" spans="1:11" ht="38.25" x14ac:dyDescent="0.25">
      <c r="A72" s="7" t="s">
        <v>190</v>
      </c>
      <c r="B72" s="7"/>
      <c r="C72" s="16">
        <v>1</v>
      </c>
      <c r="D72" s="17"/>
      <c r="E72" s="16">
        <v>8457.0300000000007</v>
      </c>
      <c r="F72" s="23">
        <f t="shared" si="14"/>
        <v>8457.0300000000007</v>
      </c>
      <c r="G72" s="23">
        <v>8457.0300000000007</v>
      </c>
      <c r="H72" s="15">
        <f t="shared" si="15"/>
        <v>0</v>
      </c>
      <c r="I72" s="36">
        <v>44132</v>
      </c>
      <c r="J72" s="7" t="s">
        <v>187</v>
      </c>
      <c r="K72" s="8"/>
    </row>
    <row r="73" spans="1:11" ht="38.25" x14ac:dyDescent="0.25">
      <c r="A73" s="7" t="s">
        <v>182</v>
      </c>
      <c r="B73" s="7"/>
      <c r="C73" s="16">
        <v>1</v>
      </c>
      <c r="D73" s="17"/>
      <c r="E73" s="16">
        <v>17126.810000000001</v>
      </c>
      <c r="F73" s="23">
        <f t="shared" si="14"/>
        <v>17126.810000000001</v>
      </c>
      <c r="G73" s="23">
        <v>17126.810000000001</v>
      </c>
      <c r="H73" s="15">
        <f t="shared" si="15"/>
        <v>0</v>
      </c>
      <c r="I73" s="36" t="s">
        <v>203</v>
      </c>
      <c r="J73" s="7" t="s">
        <v>191</v>
      </c>
      <c r="K73" s="8"/>
    </row>
    <row r="74" spans="1:11" ht="25.5" x14ac:dyDescent="0.25">
      <c r="A74" s="7" t="s">
        <v>184</v>
      </c>
      <c r="B74" s="7"/>
      <c r="C74" s="16">
        <v>1</v>
      </c>
      <c r="D74" s="17"/>
      <c r="E74" s="16">
        <v>1637.62</v>
      </c>
      <c r="F74" s="23">
        <f t="shared" si="14"/>
        <v>1637.62</v>
      </c>
      <c r="G74" s="23">
        <v>1637.62</v>
      </c>
      <c r="H74" s="15">
        <f t="shared" si="15"/>
        <v>0</v>
      </c>
      <c r="I74" s="36">
        <v>44132</v>
      </c>
      <c r="J74" s="7" t="s">
        <v>183</v>
      </c>
      <c r="K74" s="8"/>
    </row>
    <row r="75" spans="1:11" ht="25.5" x14ac:dyDescent="0.25">
      <c r="A75" s="7" t="s">
        <v>186</v>
      </c>
      <c r="B75" s="7"/>
      <c r="C75" s="16">
        <v>1</v>
      </c>
      <c r="D75" s="17"/>
      <c r="E75" s="16">
        <v>4094.06</v>
      </c>
      <c r="F75" s="23">
        <f t="shared" si="14"/>
        <v>4094.06</v>
      </c>
      <c r="G75" s="23">
        <v>4094.06</v>
      </c>
      <c r="H75" s="15">
        <f t="shared" si="15"/>
        <v>0</v>
      </c>
      <c r="I75" s="36" t="s">
        <v>203</v>
      </c>
      <c r="J75" s="7" t="s">
        <v>185</v>
      </c>
      <c r="K75" s="8"/>
    </row>
    <row r="76" spans="1:11" ht="38.25" x14ac:dyDescent="0.25">
      <c r="A76" s="7" t="s">
        <v>90</v>
      </c>
      <c r="B76" s="7"/>
      <c r="C76" s="16">
        <v>1</v>
      </c>
      <c r="D76" s="17"/>
      <c r="E76" s="16">
        <v>70000</v>
      </c>
      <c r="F76" s="23">
        <f t="shared" si="14"/>
        <v>70000</v>
      </c>
      <c r="G76" s="23">
        <v>0</v>
      </c>
      <c r="H76" s="15">
        <f t="shared" si="15"/>
        <v>70000</v>
      </c>
      <c r="I76" s="36"/>
      <c r="J76" s="7" t="s">
        <v>91</v>
      </c>
      <c r="K76" s="8"/>
    </row>
    <row r="77" spans="1:11" ht="38.25" x14ac:dyDescent="0.25">
      <c r="A77" s="7" t="s">
        <v>92</v>
      </c>
      <c r="B77" s="7"/>
      <c r="C77" s="16">
        <v>1</v>
      </c>
      <c r="D77" s="17"/>
      <c r="E77" s="16">
        <v>13130</v>
      </c>
      <c r="F77" s="23">
        <f t="shared" si="14"/>
        <v>13130</v>
      </c>
      <c r="G77" s="23">
        <v>13130</v>
      </c>
      <c r="H77" s="15">
        <f t="shared" si="15"/>
        <v>0</v>
      </c>
      <c r="I77" s="36" t="s">
        <v>203</v>
      </c>
      <c r="J77" s="7" t="s">
        <v>188</v>
      </c>
      <c r="K77" s="8"/>
    </row>
    <row r="78" spans="1:11" ht="25.5" x14ac:dyDescent="0.25">
      <c r="A78" s="7" t="s">
        <v>93</v>
      </c>
      <c r="B78" s="7"/>
      <c r="C78" s="16">
        <v>1</v>
      </c>
      <c r="D78" s="17"/>
      <c r="E78" s="16">
        <v>13200</v>
      </c>
      <c r="F78" s="23">
        <f t="shared" si="14"/>
        <v>13200</v>
      </c>
      <c r="G78" s="23">
        <v>0</v>
      </c>
      <c r="H78" s="15">
        <f t="shared" si="15"/>
        <v>13200</v>
      </c>
      <c r="I78" s="36"/>
      <c r="J78" s="7" t="s">
        <v>75</v>
      </c>
      <c r="K78" s="8"/>
    </row>
    <row r="79" spans="1:11" x14ac:dyDescent="0.25">
      <c r="A79" s="7" t="s">
        <v>2</v>
      </c>
      <c r="B79" s="7"/>
      <c r="C79" s="16">
        <v>1</v>
      </c>
      <c r="D79" s="17"/>
      <c r="E79" s="16">
        <v>7932</v>
      </c>
      <c r="F79" s="23">
        <f t="shared" si="14"/>
        <v>7932</v>
      </c>
      <c r="G79" s="23">
        <v>7932</v>
      </c>
      <c r="H79" s="15">
        <f t="shared" si="15"/>
        <v>0</v>
      </c>
      <c r="I79" s="36" t="s">
        <v>203</v>
      </c>
      <c r="J79" s="7" t="s">
        <v>75</v>
      </c>
      <c r="K79" s="8"/>
    </row>
    <row r="80" spans="1:11" x14ac:dyDescent="0.25">
      <c r="A80" s="7" t="s">
        <v>94</v>
      </c>
      <c r="B80" s="7"/>
      <c r="C80" s="16">
        <v>1</v>
      </c>
      <c r="D80" s="17"/>
      <c r="E80" s="16">
        <v>15000</v>
      </c>
      <c r="F80" s="23">
        <f t="shared" si="14"/>
        <v>15000</v>
      </c>
      <c r="G80" s="23">
        <v>0</v>
      </c>
      <c r="H80" s="15">
        <f t="shared" si="15"/>
        <v>15000</v>
      </c>
      <c r="I80" s="36"/>
      <c r="J80" s="7" t="s">
        <v>75</v>
      </c>
      <c r="K80" s="8"/>
    </row>
    <row r="81" spans="1:11" x14ac:dyDescent="0.25">
      <c r="A81" s="40" t="s">
        <v>160</v>
      </c>
      <c r="B81" s="41"/>
      <c r="C81" s="41"/>
      <c r="D81" s="41"/>
      <c r="E81" s="42"/>
      <c r="F81" s="18">
        <f>SUM(F66:F80)</f>
        <v>259310.25</v>
      </c>
      <c r="G81" s="18">
        <f t="shared" ref="G81:H81" si="16">SUM(G66:G80)</f>
        <v>130711.24999999999</v>
      </c>
      <c r="H81" s="18">
        <f t="shared" si="16"/>
        <v>128599</v>
      </c>
      <c r="I81" s="35"/>
      <c r="J81" s="4"/>
      <c r="K81" s="4"/>
    </row>
    <row r="82" spans="1:11" x14ac:dyDescent="0.25">
      <c r="A82" s="2" t="s">
        <v>35</v>
      </c>
      <c r="B82" s="2"/>
      <c r="C82" s="14"/>
      <c r="D82" s="14"/>
      <c r="E82" s="14"/>
      <c r="F82" s="14"/>
      <c r="G82" s="14"/>
      <c r="H82" s="14"/>
      <c r="I82" s="33"/>
      <c r="J82" s="4"/>
      <c r="K82" s="4"/>
    </row>
    <row r="83" spans="1:11" ht="63.75" x14ac:dyDescent="0.25">
      <c r="A83" s="7" t="s">
        <v>11</v>
      </c>
      <c r="B83" s="7" t="s">
        <v>232</v>
      </c>
      <c r="C83" s="16">
        <v>1</v>
      </c>
      <c r="D83" s="16"/>
      <c r="E83" s="16">
        <v>40490</v>
      </c>
      <c r="F83" s="23">
        <f t="shared" ref="F83:F91" si="17">C83*E83</f>
        <v>40490</v>
      </c>
      <c r="G83" s="23"/>
      <c r="H83" s="15">
        <f t="shared" ref="H83:H91" si="18">F83-G83</f>
        <v>40490</v>
      </c>
      <c r="I83" s="36"/>
      <c r="J83" s="7"/>
      <c r="K83" s="8" t="s">
        <v>233</v>
      </c>
    </row>
    <row r="84" spans="1:11" ht="38.25" x14ac:dyDescent="0.25">
      <c r="A84" s="7" t="s">
        <v>36</v>
      </c>
      <c r="B84" s="7" t="s">
        <v>239</v>
      </c>
      <c r="C84" s="16">
        <v>1</v>
      </c>
      <c r="D84" s="16"/>
      <c r="E84" s="16">
        <v>20350</v>
      </c>
      <c r="F84" s="23">
        <f t="shared" si="17"/>
        <v>20350</v>
      </c>
      <c r="G84" s="23"/>
      <c r="H84" s="15">
        <f t="shared" si="18"/>
        <v>20350</v>
      </c>
      <c r="I84" s="36"/>
      <c r="J84" s="7"/>
      <c r="K84" s="8" t="s">
        <v>240</v>
      </c>
    </row>
    <row r="85" spans="1:11" ht="25.5" customHeight="1" x14ac:dyDescent="0.25">
      <c r="A85" s="7" t="s">
        <v>37</v>
      </c>
      <c r="B85" s="7" t="s">
        <v>235</v>
      </c>
      <c r="C85" s="16">
        <v>1</v>
      </c>
      <c r="D85" s="16"/>
      <c r="E85" s="16">
        <v>14490</v>
      </c>
      <c r="F85" s="23">
        <f t="shared" si="17"/>
        <v>14490</v>
      </c>
      <c r="G85" s="23"/>
      <c r="H85" s="15">
        <f t="shared" si="18"/>
        <v>14490</v>
      </c>
      <c r="I85" s="36"/>
      <c r="J85" s="7"/>
      <c r="K85" s="8" t="s">
        <v>236</v>
      </c>
    </row>
    <row r="86" spans="1:11" ht="51" x14ac:dyDescent="0.25">
      <c r="A86" s="7" t="s">
        <v>12</v>
      </c>
      <c r="B86" s="7" t="s">
        <v>237</v>
      </c>
      <c r="C86" s="16">
        <v>1</v>
      </c>
      <c r="D86" s="16"/>
      <c r="E86" s="16">
        <v>41990</v>
      </c>
      <c r="F86" s="23">
        <f t="shared" si="17"/>
        <v>41990</v>
      </c>
      <c r="G86" s="23"/>
      <c r="H86" s="15">
        <f t="shared" si="18"/>
        <v>41990</v>
      </c>
      <c r="I86" s="36"/>
      <c r="J86" s="7"/>
      <c r="K86" s="8" t="s">
        <v>238</v>
      </c>
    </row>
    <row r="87" spans="1:11" ht="76.5" x14ac:dyDescent="0.25">
      <c r="A87" s="7" t="s">
        <v>10</v>
      </c>
      <c r="B87" s="7" t="s">
        <v>230</v>
      </c>
      <c r="C87" s="16">
        <v>1</v>
      </c>
      <c r="D87" s="16"/>
      <c r="E87" s="16">
        <v>37990</v>
      </c>
      <c r="F87" s="23">
        <f t="shared" si="17"/>
        <v>37990</v>
      </c>
      <c r="G87" s="23"/>
      <c r="H87" s="15">
        <f t="shared" si="18"/>
        <v>37990</v>
      </c>
      <c r="I87" s="36"/>
      <c r="J87" s="7"/>
      <c r="K87" s="8" t="s">
        <v>229</v>
      </c>
    </row>
    <row r="88" spans="1:11" ht="30" x14ac:dyDescent="0.25">
      <c r="A88" s="7" t="s">
        <v>7</v>
      </c>
      <c r="B88" s="7" t="s">
        <v>38</v>
      </c>
      <c r="C88" s="16">
        <v>1</v>
      </c>
      <c r="D88" s="16"/>
      <c r="E88" s="16">
        <v>134630</v>
      </c>
      <c r="F88" s="23">
        <f t="shared" si="17"/>
        <v>134630</v>
      </c>
      <c r="G88" s="23"/>
      <c r="H88" s="15">
        <f t="shared" si="18"/>
        <v>134630</v>
      </c>
      <c r="I88" s="36"/>
      <c r="J88" s="7" t="s">
        <v>38</v>
      </c>
      <c r="K88" s="9" t="s">
        <v>39</v>
      </c>
    </row>
    <row r="89" spans="1:11" ht="76.5" x14ac:dyDescent="0.25">
      <c r="A89" s="7" t="s">
        <v>220</v>
      </c>
      <c r="B89" s="7" t="s">
        <v>222</v>
      </c>
      <c r="C89" s="16">
        <v>1</v>
      </c>
      <c r="D89" s="16"/>
      <c r="E89" s="16">
        <v>18000</v>
      </c>
      <c r="F89" s="23">
        <f t="shared" si="17"/>
        <v>18000</v>
      </c>
      <c r="G89" s="23"/>
      <c r="H89" s="15">
        <f t="shared" si="18"/>
        <v>18000</v>
      </c>
      <c r="I89" s="36"/>
      <c r="J89" s="7"/>
      <c r="K89" s="8" t="s">
        <v>227</v>
      </c>
    </row>
    <row r="90" spans="1:11" ht="25.5" x14ac:dyDescent="0.25">
      <c r="A90" s="7" t="s">
        <v>223</v>
      </c>
      <c r="B90" s="7" t="s">
        <v>225</v>
      </c>
      <c r="C90" s="16">
        <v>1</v>
      </c>
      <c r="D90" s="16"/>
      <c r="E90" s="16">
        <v>10900</v>
      </c>
      <c r="F90" s="23">
        <f t="shared" si="17"/>
        <v>10900</v>
      </c>
      <c r="G90" s="23"/>
      <c r="H90" s="15">
        <f t="shared" si="18"/>
        <v>10900</v>
      </c>
      <c r="I90" s="36"/>
      <c r="J90" s="7"/>
      <c r="K90" s="8" t="s">
        <v>226</v>
      </c>
    </row>
    <row r="91" spans="1:11" ht="51" x14ac:dyDescent="0.25">
      <c r="A91" s="7" t="s">
        <v>221</v>
      </c>
      <c r="B91" s="7" t="s">
        <v>224</v>
      </c>
      <c r="C91" s="16">
        <v>1</v>
      </c>
      <c r="D91" s="16"/>
      <c r="E91" s="16">
        <v>3000</v>
      </c>
      <c r="F91" s="23">
        <f t="shared" si="17"/>
        <v>3000</v>
      </c>
      <c r="G91" s="23"/>
      <c r="H91" s="15">
        <f t="shared" si="18"/>
        <v>3000</v>
      </c>
      <c r="I91" s="36"/>
      <c r="J91" s="7"/>
      <c r="K91" s="8" t="s">
        <v>228</v>
      </c>
    </row>
    <row r="92" spans="1:11" x14ac:dyDescent="0.25">
      <c r="A92" s="7" t="s">
        <v>6</v>
      </c>
      <c r="B92" s="7" t="s">
        <v>231</v>
      </c>
      <c r="C92" s="16">
        <v>1</v>
      </c>
      <c r="D92" s="16"/>
      <c r="E92" s="16">
        <v>313947</v>
      </c>
      <c r="F92" s="23">
        <f>C92*E92</f>
        <v>313947</v>
      </c>
      <c r="G92" s="23"/>
      <c r="H92" s="15">
        <f>F92-G92</f>
        <v>313947</v>
      </c>
      <c r="I92" s="36"/>
      <c r="J92" s="7"/>
      <c r="K92" s="8"/>
    </row>
    <row r="93" spans="1:11" x14ac:dyDescent="0.25">
      <c r="A93" s="7" t="s">
        <v>218</v>
      </c>
      <c r="B93" s="7" t="s">
        <v>231</v>
      </c>
      <c r="C93" s="16">
        <v>1</v>
      </c>
      <c r="D93" s="16"/>
      <c r="E93" s="16">
        <v>69069</v>
      </c>
      <c r="F93" s="23">
        <f>C93*E93</f>
        <v>69069</v>
      </c>
      <c r="G93" s="23"/>
      <c r="H93" s="15">
        <f>F93-G93</f>
        <v>69069</v>
      </c>
      <c r="I93" s="36"/>
      <c r="J93" s="7"/>
      <c r="K93" s="8"/>
    </row>
    <row r="94" spans="1:11" x14ac:dyDescent="0.25">
      <c r="A94" s="7" t="s">
        <v>219</v>
      </c>
      <c r="B94" s="7" t="s">
        <v>231</v>
      </c>
      <c r="C94" s="16">
        <v>1</v>
      </c>
      <c r="D94" s="16"/>
      <c r="E94" s="16"/>
      <c r="F94" s="23">
        <f>C94*E94</f>
        <v>0</v>
      </c>
      <c r="G94" s="23"/>
      <c r="H94" s="15">
        <f>F94-G94</f>
        <v>0</v>
      </c>
      <c r="I94" s="36"/>
      <c r="J94" s="7"/>
      <c r="K94" s="8"/>
    </row>
    <row r="95" spans="1:11" x14ac:dyDescent="0.25">
      <c r="A95" s="40" t="s">
        <v>163</v>
      </c>
      <c r="B95" s="41"/>
      <c r="C95" s="41"/>
      <c r="D95" s="41"/>
      <c r="E95" s="42"/>
      <c r="F95" s="18">
        <f>SUM(F83:F94)</f>
        <v>704856</v>
      </c>
      <c r="G95" s="18">
        <f>SUM(G83:G94)</f>
        <v>0</v>
      </c>
      <c r="H95" s="18">
        <f>SUM(H83:H94)</f>
        <v>704856</v>
      </c>
      <c r="I95" s="35"/>
      <c r="J95" s="4"/>
      <c r="K95" s="4"/>
    </row>
    <row r="96" spans="1:11" x14ac:dyDescent="0.25">
      <c r="A96" s="2" t="s">
        <v>40</v>
      </c>
      <c r="B96" s="2"/>
      <c r="C96" s="14"/>
      <c r="D96" s="14"/>
      <c r="E96" s="14"/>
      <c r="F96" s="14"/>
      <c r="G96" s="14"/>
      <c r="H96" s="14"/>
      <c r="I96" s="33"/>
      <c r="J96" s="4"/>
      <c r="K96" s="4"/>
    </row>
    <row r="97" spans="1:11" ht="45" x14ac:dyDescent="0.25">
      <c r="A97" s="7" t="s">
        <v>165</v>
      </c>
      <c r="B97" s="7"/>
      <c r="C97" s="16">
        <v>1</v>
      </c>
      <c r="D97" s="16">
        <v>675</v>
      </c>
      <c r="E97" s="16">
        <v>63600</v>
      </c>
      <c r="F97" s="23">
        <f t="shared" ref="F97" si="19">C97*E97</f>
        <v>63600</v>
      </c>
      <c r="G97" s="23">
        <v>63600</v>
      </c>
      <c r="H97" s="15">
        <f t="shared" ref="H97:H110" si="20">F97-G97</f>
        <v>0</v>
      </c>
      <c r="I97" s="36"/>
      <c r="J97" s="7" t="s">
        <v>208</v>
      </c>
      <c r="K97" s="9" t="s">
        <v>41</v>
      </c>
    </row>
    <row r="98" spans="1:11" ht="75" x14ac:dyDescent="0.25">
      <c r="A98" s="7" t="s">
        <v>168</v>
      </c>
      <c r="B98" s="7"/>
      <c r="C98" s="16">
        <v>1</v>
      </c>
      <c r="D98" s="16">
        <v>145</v>
      </c>
      <c r="E98" s="16">
        <v>11913</v>
      </c>
      <c r="F98" s="23">
        <f t="shared" ref="F98:F99" si="21">C98*E98</f>
        <v>11913</v>
      </c>
      <c r="G98" s="23">
        <f>11913</f>
        <v>11913</v>
      </c>
      <c r="H98" s="15">
        <f t="shared" si="20"/>
        <v>0</v>
      </c>
      <c r="I98" s="36"/>
      <c r="J98" s="7" t="s">
        <v>205</v>
      </c>
      <c r="K98" s="9" t="s">
        <v>169</v>
      </c>
    </row>
    <row r="99" spans="1:11" ht="60" x14ac:dyDescent="0.25">
      <c r="A99" s="7" t="s">
        <v>196</v>
      </c>
      <c r="B99" s="7"/>
      <c r="C99" s="16">
        <v>1</v>
      </c>
      <c r="D99" s="16"/>
      <c r="E99" s="16">
        <v>2999</v>
      </c>
      <c r="F99" s="23">
        <f t="shared" si="21"/>
        <v>2999</v>
      </c>
      <c r="G99" s="23"/>
      <c r="H99" s="15">
        <f t="shared" si="20"/>
        <v>2999</v>
      </c>
      <c r="I99" s="36"/>
      <c r="J99" s="7" t="s">
        <v>198</v>
      </c>
      <c r="K99" s="9" t="s">
        <v>197</v>
      </c>
    </row>
    <row r="100" spans="1:11" ht="30" x14ac:dyDescent="0.25">
      <c r="A100" s="7" t="s">
        <v>42</v>
      </c>
      <c r="B100" s="7"/>
      <c r="C100" s="16">
        <v>2</v>
      </c>
      <c r="D100" s="16"/>
      <c r="E100" s="16">
        <v>8600</v>
      </c>
      <c r="F100" s="23">
        <f t="shared" ref="F100:F110" si="22">C100*E100</f>
        <v>17200</v>
      </c>
      <c r="G100" s="23"/>
      <c r="H100" s="15">
        <f t="shared" si="20"/>
        <v>17200</v>
      </c>
      <c r="I100" s="36"/>
      <c r="J100" s="7" t="s">
        <v>209</v>
      </c>
      <c r="K100" s="9" t="s">
        <v>43</v>
      </c>
    </row>
    <row r="101" spans="1:11" ht="45" x14ac:dyDescent="0.25">
      <c r="A101" s="11" t="s">
        <v>44</v>
      </c>
      <c r="B101" s="11"/>
      <c r="C101" s="16">
        <v>1</v>
      </c>
      <c r="D101" s="16"/>
      <c r="E101" s="16">
        <v>28600</v>
      </c>
      <c r="F101" s="23">
        <f t="shared" si="22"/>
        <v>28600</v>
      </c>
      <c r="G101" s="23"/>
      <c r="H101" s="15">
        <f t="shared" si="20"/>
        <v>28600</v>
      </c>
      <c r="I101" s="36"/>
      <c r="J101" s="7" t="s">
        <v>45</v>
      </c>
      <c r="K101" s="9" t="s">
        <v>46</v>
      </c>
    </row>
    <row r="102" spans="1:11" ht="75" x14ac:dyDescent="0.25">
      <c r="A102" s="7" t="s">
        <v>166</v>
      </c>
      <c r="B102" s="7"/>
      <c r="C102" s="16">
        <v>1</v>
      </c>
      <c r="D102" s="16">
        <v>209</v>
      </c>
      <c r="E102" s="16">
        <f t="shared" ref="E102" si="23">D102*$O$1</f>
        <v>19374.3</v>
      </c>
      <c r="F102" s="23">
        <f t="shared" si="22"/>
        <v>19374.3</v>
      </c>
      <c r="G102" s="23"/>
      <c r="H102" s="15">
        <f t="shared" si="20"/>
        <v>19374.3</v>
      </c>
      <c r="I102" s="36"/>
      <c r="J102" s="7" t="s">
        <v>194</v>
      </c>
      <c r="K102" s="9" t="s">
        <v>195</v>
      </c>
    </row>
    <row r="103" spans="1:11" ht="60" x14ac:dyDescent="0.25">
      <c r="A103" s="7" t="s">
        <v>167</v>
      </c>
      <c r="B103" s="7"/>
      <c r="C103" s="16">
        <v>1</v>
      </c>
      <c r="D103" s="16">
        <v>755</v>
      </c>
      <c r="E103" s="16">
        <v>68989</v>
      </c>
      <c r="F103" s="23">
        <f t="shared" si="22"/>
        <v>68989</v>
      </c>
      <c r="G103" s="23">
        <v>68989</v>
      </c>
      <c r="H103" s="15">
        <f t="shared" si="20"/>
        <v>0</v>
      </c>
      <c r="I103" s="36"/>
      <c r="J103" s="7" t="s">
        <v>206</v>
      </c>
      <c r="K103" s="9" t="s">
        <v>171</v>
      </c>
    </row>
    <row r="104" spans="1:11" ht="38.25" x14ac:dyDescent="0.25">
      <c r="A104" s="7" t="s">
        <v>74</v>
      </c>
      <c r="B104" s="7"/>
      <c r="C104" s="16">
        <v>1</v>
      </c>
      <c r="D104" s="16"/>
      <c r="E104" s="16">
        <v>3999</v>
      </c>
      <c r="F104" s="23">
        <f t="shared" si="22"/>
        <v>3999</v>
      </c>
      <c r="G104" s="23"/>
      <c r="H104" s="15">
        <f t="shared" si="20"/>
        <v>3999</v>
      </c>
      <c r="I104" s="36"/>
      <c r="J104" s="7" t="s">
        <v>199</v>
      </c>
      <c r="K104" s="8" t="s">
        <v>200</v>
      </c>
    </row>
    <row r="105" spans="1:11" ht="51" x14ac:dyDescent="0.25">
      <c r="A105" s="7" t="s">
        <v>76</v>
      </c>
      <c r="B105" s="7"/>
      <c r="C105" s="16">
        <v>1</v>
      </c>
      <c r="D105" s="16">
        <v>330</v>
      </c>
      <c r="E105" s="16">
        <v>30591</v>
      </c>
      <c r="F105" s="23">
        <f t="shared" ref="F105" si="24">C105*E105</f>
        <v>30591</v>
      </c>
      <c r="G105" s="23">
        <v>30591</v>
      </c>
      <c r="H105" s="15">
        <f t="shared" si="20"/>
        <v>0</v>
      </c>
      <c r="I105" s="36"/>
      <c r="J105" s="7" t="s">
        <v>207</v>
      </c>
      <c r="K105" s="8" t="s">
        <v>170</v>
      </c>
    </row>
    <row r="106" spans="1:11" ht="45" x14ac:dyDescent="0.25">
      <c r="A106" s="7" t="s">
        <v>77</v>
      </c>
      <c r="B106" s="7"/>
      <c r="C106" s="16">
        <v>3</v>
      </c>
      <c r="D106" s="16"/>
      <c r="E106" s="16">
        <v>4800</v>
      </c>
      <c r="F106" s="23">
        <f t="shared" si="22"/>
        <v>14400</v>
      </c>
      <c r="G106" s="23"/>
      <c r="H106" s="15">
        <f t="shared" si="20"/>
        <v>14400</v>
      </c>
      <c r="I106" s="36"/>
      <c r="J106" s="7" t="s">
        <v>78</v>
      </c>
      <c r="K106" s="9" t="s">
        <v>79</v>
      </c>
    </row>
    <row r="107" spans="1:11" ht="45" x14ac:dyDescent="0.25">
      <c r="A107" s="7" t="s">
        <v>201</v>
      </c>
      <c r="B107" s="7"/>
      <c r="C107" s="16">
        <v>4</v>
      </c>
      <c r="D107" s="16"/>
      <c r="E107" s="16">
        <v>6800</v>
      </c>
      <c r="F107" s="23">
        <f t="shared" si="22"/>
        <v>27200</v>
      </c>
      <c r="G107" s="23"/>
      <c r="H107" s="15">
        <f t="shared" si="20"/>
        <v>27200</v>
      </c>
      <c r="I107" s="36"/>
      <c r="J107" s="7" t="s">
        <v>95</v>
      </c>
      <c r="K107" s="9" t="s">
        <v>96</v>
      </c>
    </row>
    <row r="108" spans="1:11" ht="30" x14ac:dyDescent="0.25">
      <c r="A108" s="7" t="s">
        <v>172</v>
      </c>
      <c r="B108" s="7"/>
      <c r="C108" s="16">
        <v>1</v>
      </c>
      <c r="D108" s="16"/>
      <c r="E108" s="16">
        <v>12800</v>
      </c>
      <c r="F108" s="23">
        <f t="shared" si="22"/>
        <v>12800</v>
      </c>
      <c r="G108" s="23"/>
      <c r="H108" s="15">
        <f t="shared" si="20"/>
        <v>12800</v>
      </c>
      <c r="I108" s="36"/>
      <c r="J108" s="7" t="s">
        <v>97</v>
      </c>
      <c r="K108" s="9" t="s">
        <v>98</v>
      </c>
    </row>
    <row r="109" spans="1:11" x14ac:dyDescent="0.25">
      <c r="A109" s="7" t="s">
        <v>173</v>
      </c>
      <c r="B109" s="7"/>
      <c r="C109" s="16">
        <v>52</v>
      </c>
      <c r="D109" s="16"/>
      <c r="E109" s="16">
        <v>700</v>
      </c>
      <c r="F109" s="23">
        <f t="shared" si="22"/>
        <v>36400</v>
      </c>
      <c r="G109" s="23"/>
      <c r="H109" s="15">
        <f t="shared" si="20"/>
        <v>36400</v>
      </c>
      <c r="I109" s="36"/>
      <c r="J109" s="7"/>
      <c r="K109" s="9"/>
    </row>
    <row r="110" spans="1:11" x14ac:dyDescent="0.25">
      <c r="A110" s="7" t="s">
        <v>174</v>
      </c>
      <c r="B110" s="7"/>
      <c r="C110" s="16">
        <v>8</v>
      </c>
      <c r="D110" s="16"/>
      <c r="E110" s="16">
        <v>700</v>
      </c>
      <c r="F110" s="23">
        <f t="shared" si="22"/>
        <v>5600</v>
      </c>
      <c r="G110" s="23"/>
      <c r="H110" s="15">
        <f t="shared" si="20"/>
        <v>5600</v>
      </c>
      <c r="I110" s="36"/>
      <c r="J110" s="7"/>
      <c r="K110" s="9"/>
    </row>
    <row r="111" spans="1:11" x14ac:dyDescent="0.25">
      <c r="A111" s="40" t="s">
        <v>164</v>
      </c>
      <c r="B111" s="41"/>
      <c r="C111" s="41"/>
      <c r="D111" s="41"/>
      <c r="E111" s="42"/>
      <c r="F111" s="18">
        <f>SUM(F97:F108)</f>
        <v>301665.3</v>
      </c>
      <c r="G111" s="18">
        <f t="shared" ref="G111:H111" si="25">SUM(G97:G108)</f>
        <v>175093</v>
      </c>
      <c r="H111" s="18">
        <f t="shared" si="25"/>
        <v>126572.3</v>
      </c>
      <c r="I111" s="35"/>
      <c r="J111" s="4"/>
      <c r="K111" s="4"/>
    </row>
  </sheetData>
  <autoFilter ref="A1:K111" xr:uid="{C55018CC-D68C-47F4-B519-199A8355998A}"/>
  <mergeCells count="8">
    <mergeCell ref="J28:J29"/>
    <mergeCell ref="A95:E95"/>
    <mergeCell ref="A111:E111"/>
    <mergeCell ref="A15:E15"/>
    <mergeCell ref="A42:E42"/>
    <mergeCell ref="A2:E2"/>
    <mergeCell ref="A64:E64"/>
    <mergeCell ref="A81:E81"/>
  </mergeCells>
  <hyperlinks>
    <hyperlink ref="K17" r:id="rId1" xr:uid="{9F245EAA-D3DF-4FA6-A584-477807252582}"/>
    <hyperlink ref="K23" r:id="rId2" xr:uid="{D3E56988-2281-45E2-9CB7-0EE4C102202E}"/>
    <hyperlink ref="K44" r:id="rId3" location="shoppingtool=treestructureflyout" display="https://www.laredoute.ru/ppdp/prod-350128385.aspx - shoppingtool=treestructureflyout" xr:uid="{6F53B478-A175-48EC-BD21-CB35CCEB665B}"/>
    <hyperlink ref="K45" r:id="rId4" xr:uid="{265E0821-C4B1-403B-8C4E-9F4FE836515E}"/>
    <hyperlink ref="K47" r:id="rId5" xr:uid="{32998AF0-4CA2-4524-BB1A-36734BDF644C}"/>
    <hyperlink ref="K97" r:id="rId6" xr:uid="{A86082BA-DEB1-43B3-9E62-D9D7C602F14F}"/>
    <hyperlink ref="K100" r:id="rId7" xr:uid="{08D0B604-20CE-46E7-821E-578B16E8F24E}"/>
    <hyperlink ref="K101" r:id="rId8" xr:uid="{20B316E2-4DA1-42FC-A99C-111CA7238C8B}"/>
    <hyperlink ref="K51" r:id="rId9" location="searchkeyword=%D0%BF%D0%BE%D0%BB%D0%BA%D0%B0&amp;shoppingtool=search" display="https://www.laredoute.ru/ppdp/prod-350011569.aspx - searchkeyword=%D0%BF%D0%BE%D0%BB%D0%BA%D0%B0&amp;shoppingtool=search" xr:uid="{B0F3B817-3007-42BF-855F-9CF43B7C6ED4}"/>
    <hyperlink ref="K56" r:id="rId10" xr:uid="{AA6E285C-77D4-45E1-A2D5-F9B756B5EE2B}"/>
    <hyperlink ref="K59" r:id="rId11" xr:uid="{655CC93A-E728-4FE6-8F63-A04D83A4E3C8}"/>
    <hyperlink ref="K60" r:id="rId12" xr:uid="{DD8B4650-0149-456E-BE0C-1531BA2B02A6}"/>
    <hyperlink ref="K61" r:id="rId13" xr:uid="{80BC01FB-0950-4F83-8EA5-DCAB39C7B2D9}"/>
    <hyperlink ref="K63" r:id="rId14" xr:uid="{03989344-3AFB-4828-A4A9-C64391166B67}"/>
    <hyperlink ref="K106" r:id="rId15" xr:uid="{5E6B175E-D31B-497C-9E4B-0FBEA3A5AAC0}"/>
    <hyperlink ref="K18" r:id="rId16" xr:uid="{20CFD472-FFA0-43FC-9C5B-2CF87B4B918C}"/>
    <hyperlink ref="K19" r:id="rId17" xr:uid="{17846F6F-ABA4-4921-8BB6-16D290B6E50B}"/>
    <hyperlink ref="K67" r:id="rId18" location="ins_sr=eyJwcm9kdWN0SWQiOiI2MDM2OTA3MSJ9" display="https://www.ikea.com/ru/ru/p/storyorm-zerkaln-shkafchik-2dvercy-podsvetka-belyy-60369071/? - ins_sr=eyJwcm9kdWN0SWQiOiI2MDM2OTA3MSJ9" xr:uid="{652518C4-FBB9-469A-8CB4-C5C57B75AFB2}"/>
    <hyperlink ref="K68" r:id="rId19" location="ins_sr=eyJwcm9kdWN0SWQiOiI0MDM2OTA1MyJ9" display="https://www.ikea.com/ru/ru/p/rettviken-odinarnaya-rakovina-belyy-40369053/? - ins_sr=eyJwcm9kdWN0SWQiOiI0MDM2OTA1MyJ9" xr:uid="{DE7844E4-2F61-4413-85B6-ED7956D12D31}"/>
    <hyperlink ref="K107" r:id="rId20" xr:uid="{F5187330-75B9-4BFD-8134-0D4C2E0032E7}"/>
    <hyperlink ref="K108" r:id="rId21" xr:uid="{C214580A-3AF6-47CD-A4FE-CD210E2320F5}"/>
    <hyperlink ref="K88" r:id="rId22" xr:uid="{C8883584-B8C7-48D2-ABAF-32A42CEAC110}"/>
  </hyperlinks>
  <pageMargins left="0.7" right="0.7" top="0.75" bottom="0.75" header="0.3" footer="0.3"/>
  <pageSetup paperSize="9"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0A9AD-2553-49C1-B991-49DEC3C4B170}">
  <dimension ref="A1:B4"/>
  <sheetViews>
    <sheetView workbookViewId="0">
      <selection activeCell="D11" sqref="D11"/>
    </sheetView>
  </sheetViews>
  <sheetFormatPr defaultRowHeight="15" x14ac:dyDescent="0.25"/>
  <cols>
    <col min="1" max="1" width="12.5703125" bestFit="1" customWidth="1"/>
  </cols>
  <sheetData>
    <row r="1" spans="1:2" x14ac:dyDescent="0.25">
      <c r="A1" t="s">
        <v>14</v>
      </c>
      <c r="B1">
        <v>4690</v>
      </c>
    </row>
    <row r="2" spans="1:2" x14ac:dyDescent="0.25">
      <c r="A2" t="s">
        <v>177</v>
      </c>
      <c r="B2">
        <v>90125</v>
      </c>
    </row>
    <row r="3" spans="1:2" x14ac:dyDescent="0.25">
      <c r="A3" t="s">
        <v>212</v>
      </c>
      <c r="B3">
        <v>3500</v>
      </c>
    </row>
    <row r="4" spans="1:2" x14ac:dyDescent="0.25">
      <c r="A4" t="s">
        <v>234</v>
      </c>
      <c r="B4">
        <v>50220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смета</vt:lpstr>
      <vt:lpstr>Черновые материалы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Valya</dc:creator>
  <cp:lastModifiedBy>Valya</cp:lastModifiedBy>
  <dcterms:created xsi:type="dcterms:W3CDTF">2020-07-21T16:28:55Z</dcterms:created>
  <dcterms:modified xsi:type="dcterms:W3CDTF">2020-10-08T11:50:21Z</dcterms:modified>
</cp:coreProperties>
</file>